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obrstard\Downloads\"/>
    </mc:Choice>
  </mc:AlternateContent>
  <xr:revisionPtr revIDLastSave="0" documentId="8_{AE661DAF-8C76-4895-9423-71B1E8728ED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znam ekip" sheetId="4" r:id="rId1"/>
    <sheet name="Rezultati" sheetId="5" r:id="rId2"/>
    <sheet name="Sistem tekmovanja" sheetId="6" r:id="rId3"/>
    <sheet name="Lestvica" sheetId="7" r:id="rId4"/>
    <sheet name="Tocke" sheetId="8" r:id="rId5"/>
  </sheets>
  <definedNames>
    <definedName name="_Fill" hidden="1">#REF!</definedName>
    <definedName name="fillPlayers_17" localSheetId="0">'Seznam ekip'!#REF!</definedName>
    <definedName name="_xlnm.Print_Area" localSheetId="3">Lestvica!$A$1:$D$22</definedName>
    <definedName name="_xlnm.Print_Area" localSheetId="1">Rezultati!$A$1:$S$33</definedName>
    <definedName name="_xlnm.Print_Area" localSheetId="0">'Seznam ekip'!$A$1:$K$21</definedName>
    <definedName name="_xlnm.Print_Area" localSheetId="2">'Sistem tekmovanja'!$A$1:$J$47</definedName>
    <definedName name="_xlnm.Print_Area" localSheetId="4">Tocke!$A$1:$F$36</definedName>
    <definedName name="_xlnm.Print_Area">#REF!</definedName>
    <definedName name="_xlnm.Print_Titles" localSheetId="1">Rezultati!$3:$3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8" l="1"/>
  <c r="J1" i="4"/>
  <c r="F19" i="5"/>
  <c r="J44" i="6" s="1"/>
  <c r="D12" i="5"/>
  <c r="B3" i="6" s="1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L6" i="4"/>
  <c r="J6" i="4"/>
  <c r="K6" i="4"/>
  <c r="M6" i="4"/>
  <c r="N6" i="4"/>
  <c r="O6" i="4"/>
  <c r="D1" i="6"/>
  <c r="F2" i="8"/>
  <c r="F1" i="8"/>
  <c r="A1" i="8"/>
  <c r="A4" i="7"/>
  <c r="A2" i="7"/>
  <c r="E2" i="6"/>
  <c r="G1" i="5"/>
  <c r="A1" i="5"/>
  <c r="K7" i="4"/>
  <c r="F11" i="5" s="1"/>
  <c r="A47" i="6" s="1"/>
  <c r="K8" i="4"/>
  <c r="D8" i="5" s="1"/>
  <c r="A25" i="6" s="1"/>
  <c r="K9" i="4"/>
  <c r="F7" i="5" s="1"/>
  <c r="A23" i="6" s="1"/>
  <c r="K10" i="4"/>
  <c r="D6" i="5" s="1"/>
  <c r="A13" i="6" s="1"/>
  <c r="K11" i="4"/>
  <c r="F9" i="5" s="1"/>
  <c r="A35" i="6" s="1"/>
  <c r="K12" i="4"/>
  <c r="D10" i="5" s="1"/>
  <c r="A37" i="6" s="1"/>
  <c r="K13" i="4"/>
  <c r="F5" i="5" s="1"/>
  <c r="A11" i="6" s="1"/>
  <c r="K14" i="4"/>
  <c r="D5" i="5" s="1"/>
  <c r="A7" i="6" s="1"/>
  <c r="K15" i="4"/>
  <c r="F10" i="5" s="1"/>
  <c r="A41" i="6" s="1"/>
  <c r="K16" i="4"/>
  <c r="D9" i="5" s="1"/>
  <c r="A31" i="6" s="1"/>
  <c r="K17" i="4"/>
  <c r="F6" i="5" s="1"/>
  <c r="A17" i="6" s="1"/>
  <c r="K18" i="4"/>
  <c r="D7" i="5" s="1"/>
  <c r="A19" i="6" s="1"/>
  <c r="K19" i="4"/>
  <c r="F8" i="5" s="1"/>
  <c r="A29" i="6" s="1"/>
  <c r="K20" i="4"/>
  <c r="D11" i="5" s="1"/>
  <c r="A43" i="6" s="1"/>
  <c r="K21" i="4"/>
  <c r="F4" i="5" s="1"/>
  <c r="A5" i="6" s="1"/>
  <c r="O21" i="4"/>
  <c r="N21" i="4"/>
  <c r="M21" i="4"/>
  <c r="L21" i="4"/>
  <c r="O20" i="4"/>
  <c r="N20" i="4"/>
  <c r="M20" i="4"/>
  <c r="L20" i="4"/>
  <c r="O19" i="4"/>
  <c r="N19" i="4"/>
  <c r="M19" i="4"/>
  <c r="L19" i="4"/>
  <c r="O18" i="4"/>
  <c r="N18" i="4"/>
  <c r="M18" i="4"/>
  <c r="L18" i="4"/>
  <c r="O17" i="4"/>
  <c r="N17" i="4"/>
  <c r="M17" i="4"/>
  <c r="L17" i="4"/>
  <c r="O16" i="4"/>
  <c r="N16" i="4"/>
  <c r="M16" i="4"/>
  <c r="L16" i="4"/>
  <c r="O15" i="4"/>
  <c r="N15" i="4"/>
  <c r="M15" i="4"/>
  <c r="L15" i="4"/>
  <c r="O14" i="4"/>
  <c r="N14" i="4"/>
  <c r="M14" i="4"/>
  <c r="L14" i="4"/>
  <c r="O13" i="4"/>
  <c r="N13" i="4"/>
  <c r="M13" i="4"/>
  <c r="L13" i="4"/>
  <c r="O12" i="4"/>
  <c r="N12" i="4"/>
  <c r="M12" i="4"/>
  <c r="L12" i="4"/>
  <c r="O11" i="4"/>
  <c r="N11" i="4"/>
  <c r="M11" i="4"/>
  <c r="L11" i="4"/>
  <c r="O10" i="4"/>
  <c r="N10" i="4"/>
  <c r="M10" i="4"/>
  <c r="L10" i="4"/>
  <c r="O9" i="4"/>
  <c r="N9" i="4"/>
  <c r="M9" i="4"/>
  <c r="L9" i="4"/>
  <c r="O8" i="4"/>
  <c r="N8" i="4"/>
  <c r="M8" i="4"/>
  <c r="L8" i="4"/>
  <c r="O7" i="4"/>
  <c r="N7" i="4"/>
  <c r="M7" i="4"/>
  <c r="L7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A46" i="6"/>
  <c r="I45" i="6"/>
  <c r="J43" i="6"/>
  <c r="B43" i="6"/>
  <c r="H41" i="6"/>
  <c r="A40" i="6"/>
  <c r="I37" i="6"/>
  <c r="G37" i="6"/>
  <c r="E37" i="6"/>
  <c r="C37" i="6"/>
  <c r="J35" i="6"/>
  <c r="A34" i="6"/>
  <c r="B31" i="6"/>
  <c r="A28" i="6"/>
  <c r="F26" i="6"/>
  <c r="D26" i="6"/>
  <c r="A22" i="6"/>
  <c r="I21" i="6"/>
  <c r="J19" i="6"/>
  <c r="B19" i="6"/>
  <c r="H17" i="6"/>
  <c r="A16" i="6"/>
  <c r="I13" i="6"/>
  <c r="G13" i="6"/>
  <c r="E13" i="6"/>
  <c r="C13" i="6"/>
  <c r="J11" i="6"/>
  <c r="A10" i="6"/>
  <c r="B7" i="6"/>
  <c r="A4" i="6"/>
  <c r="A3" i="6"/>
  <c r="J4" i="5"/>
  <c r="A5" i="5"/>
  <c r="D19" i="5" s="1"/>
  <c r="J40" i="6" s="1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A8" i="7"/>
  <c r="A9" i="7"/>
  <c r="A10" i="7" s="1"/>
  <c r="A11" i="7" s="1"/>
  <c r="A9" i="6"/>
  <c r="C5" i="8" l="1"/>
  <c r="C22" i="8"/>
  <c r="C24" i="8"/>
  <c r="B23" i="8"/>
  <c r="C25" i="8"/>
  <c r="C16" i="7"/>
  <c r="C14" i="7"/>
  <c r="C16" i="8"/>
  <c r="B24" i="8"/>
  <c r="D4" i="5"/>
  <c r="A1" i="6" s="1"/>
  <c r="D16" i="7"/>
  <c r="C10" i="7"/>
  <c r="D10" i="7"/>
  <c r="C23" i="8"/>
  <c r="B26" i="8"/>
  <c r="C33" i="8"/>
  <c r="C26" i="8"/>
  <c r="C8" i="7"/>
  <c r="B5" i="8"/>
  <c r="C34" i="8"/>
  <c r="D14" i="7"/>
  <c r="D19" i="7"/>
  <c r="B9" i="8"/>
  <c r="C36" i="8"/>
  <c r="C22" i="7"/>
  <c r="C20" i="7"/>
  <c r="B27" i="8"/>
  <c r="B25" i="8"/>
  <c r="D8" i="7"/>
  <c r="C9" i="8"/>
  <c r="C15" i="8"/>
  <c r="D18" i="7"/>
  <c r="C19" i="7"/>
  <c r="C18" i="7"/>
  <c r="C17" i="7"/>
  <c r="B8" i="8"/>
  <c r="C10" i="8"/>
  <c r="B19" i="8"/>
  <c r="B28" i="8"/>
  <c r="B29" i="8"/>
  <c r="B31" i="8"/>
  <c r="B18" i="8"/>
  <c r="B20" i="8"/>
  <c r="C8" i="8"/>
  <c r="C6" i="8"/>
  <c r="C19" i="8"/>
  <c r="C28" i="8"/>
  <c r="C29" i="8"/>
  <c r="C31" i="8"/>
  <c r="D13" i="7"/>
  <c r="B10" i="8"/>
  <c r="B12" i="8"/>
  <c r="C11" i="7"/>
  <c r="C20" i="8"/>
  <c r="C15" i="7"/>
  <c r="C30" i="8"/>
  <c r="D20" i="7"/>
  <c r="B15" i="8"/>
  <c r="B6" i="8"/>
  <c r="C12" i="8"/>
  <c r="B13" i="8"/>
  <c r="C13" i="7"/>
  <c r="D15" i="7"/>
  <c r="B35" i="8"/>
  <c r="C21" i="7"/>
  <c r="C12" i="7"/>
  <c r="C7" i="7"/>
  <c r="C9" i="7"/>
  <c r="C13" i="8"/>
  <c r="B17" i="8"/>
  <c r="C27" i="8"/>
  <c r="C35" i="8"/>
  <c r="D21" i="7"/>
  <c r="C32" i="8"/>
  <c r="B14" i="8"/>
  <c r="D9" i="7"/>
  <c r="C11" i="8"/>
  <c r="C14" i="8"/>
  <c r="C17" i="8"/>
  <c r="B21" i="8"/>
  <c r="D22" i="7"/>
  <c r="B32" i="8"/>
  <c r="D11" i="7"/>
  <c r="B11" i="8"/>
  <c r="D7" i="7"/>
  <c r="D12" i="7"/>
  <c r="C18" i="8"/>
  <c r="B22" i="8"/>
  <c r="B33" i="8"/>
  <c r="B36" i="8"/>
  <c r="B30" i="8"/>
  <c r="B7" i="8"/>
  <c r="C7" i="8"/>
  <c r="B16" i="8"/>
  <c r="D17" i="7"/>
  <c r="C21" i="8"/>
  <c r="B34" i="8"/>
  <c r="D36" i="8"/>
  <c r="D7" i="8"/>
  <c r="D17" i="8"/>
  <c r="D25" i="8"/>
  <c r="D33" i="8"/>
  <c r="D10" i="8"/>
  <c r="D20" i="8"/>
  <c r="D28" i="8"/>
  <c r="D11" i="8"/>
  <c r="D26" i="8"/>
  <c r="D9" i="8"/>
  <c r="D19" i="8"/>
  <c r="D27" i="8"/>
  <c r="D35" i="8"/>
  <c r="D14" i="8"/>
  <c r="D22" i="8"/>
  <c r="D30" i="8"/>
  <c r="D5" i="8"/>
  <c r="D15" i="8"/>
  <c r="D31" i="8"/>
  <c r="D8" i="8"/>
  <c r="D34" i="8"/>
  <c r="D13" i="8"/>
  <c r="D21" i="8"/>
  <c r="D29" i="8"/>
  <c r="D6" i="8"/>
  <c r="D16" i="8"/>
  <c r="D24" i="8"/>
  <c r="D32" i="8"/>
  <c r="D12" i="8"/>
  <c r="D18" i="8"/>
  <c r="D23" i="8"/>
  <c r="A6" i="5"/>
  <c r="F12" i="5"/>
  <c r="B9" i="6" s="1"/>
  <c r="D13" i="5" l="1"/>
  <c r="B15" i="6" s="1"/>
  <c r="A7" i="5"/>
  <c r="F18" i="5"/>
  <c r="J36" i="6" s="1"/>
  <c r="A15" i="6"/>
  <c r="F13" i="5" l="1"/>
  <c r="B21" i="6" s="1"/>
  <c r="A21" i="6"/>
  <c r="D18" i="5"/>
  <c r="J32" i="6" s="1"/>
  <c r="A8" i="5"/>
  <c r="F17" i="5" l="1"/>
  <c r="J20" i="6" s="1"/>
  <c r="A27" i="6"/>
  <c r="A9" i="5"/>
  <c r="D14" i="5"/>
  <c r="B27" i="6" s="1"/>
  <c r="A10" i="5" l="1"/>
  <c r="D17" i="5"/>
  <c r="J16" i="6" s="1"/>
  <c r="F14" i="5"/>
  <c r="B33" i="6" s="1"/>
  <c r="A33" i="6"/>
  <c r="A39" i="6" l="1"/>
  <c r="D15" i="5"/>
  <c r="B39" i="6" s="1"/>
  <c r="A11" i="5"/>
  <c r="F16" i="5"/>
  <c r="J12" i="6" s="1"/>
  <c r="F15" i="5" l="1"/>
  <c r="B45" i="6" s="1"/>
  <c r="A45" i="6"/>
  <c r="A12" i="5"/>
  <c r="D16" i="5"/>
  <c r="J8" i="6" s="1"/>
  <c r="F21" i="5" l="1"/>
  <c r="I22" i="6" s="1"/>
  <c r="A13" i="5"/>
  <c r="D24" i="5"/>
  <c r="C6" i="6" s="1"/>
  <c r="B6" i="6"/>
  <c r="B18" i="6" l="1"/>
  <c r="F24" i="5"/>
  <c r="C18" i="6" s="1"/>
  <c r="F20" i="5"/>
  <c r="I14" i="6" s="1"/>
  <c r="A14" i="5"/>
  <c r="F23" i="5" l="1"/>
  <c r="I46" i="6" s="1"/>
  <c r="D25" i="5"/>
  <c r="C30" i="6" s="1"/>
  <c r="B30" i="6"/>
  <c r="A15" i="5"/>
  <c r="F25" i="5" l="1"/>
  <c r="C42" i="6" s="1"/>
  <c r="F22" i="5"/>
  <c r="I38" i="6" s="1"/>
  <c r="A16" i="5"/>
  <c r="B42" i="6"/>
  <c r="A17" i="5" l="1"/>
  <c r="D20" i="5"/>
  <c r="I10" i="6" s="1"/>
  <c r="J10" i="6"/>
  <c r="A18" i="5" l="1"/>
  <c r="D21" i="5"/>
  <c r="I18" i="6" s="1"/>
  <c r="J18" i="6"/>
  <c r="D22" i="5" l="1"/>
  <c r="I34" i="6" s="1"/>
  <c r="J34" i="6"/>
  <c r="A19" i="5"/>
  <c r="D23" i="5" l="1"/>
  <c r="I42" i="6" s="1"/>
  <c r="A20" i="5"/>
  <c r="J42" i="6"/>
  <c r="A21" i="5" l="1"/>
  <c r="D26" i="5"/>
  <c r="H12" i="6" s="1"/>
  <c r="I12" i="6"/>
  <c r="A22" i="5" l="1"/>
  <c r="F26" i="5"/>
  <c r="H20" i="6" s="1"/>
  <c r="I20" i="6"/>
  <c r="I36" i="6" l="1"/>
  <c r="D27" i="5"/>
  <c r="H37" i="6" s="1"/>
  <c r="A23" i="5"/>
  <c r="A24" i="5" l="1"/>
  <c r="F27" i="5"/>
  <c r="H44" i="6" s="1"/>
  <c r="I44" i="6"/>
  <c r="C12" i="6" l="1"/>
  <c r="F29" i="5"/>
  <c r="G32" i="6" s="1"/>
  <c r="D30" i="5"/>
  <c r="D12" i="6" s="1"/>
  <c r="A25" i="5"/>
  <c r="D31" i="5" l="1"/>
  <c r="D36" i="6" s="1"/>
  <c r="F28" i="5"/>
  <c r="G8" i="6" s="1"/>
  <c r="C36" i="6"/>
  <c r="A26" i="5"/>
  <c r="D28" i="5" l="1"/>
  <c r="G16" i="6" s="1"/>
  <c r="H16" i="6"/>
  <c r="A27" i="5"/>
  <c r="D29" i="5" l="1"/>
  <c r="G40" i="6" s="1"/>
  <c r="A28" i="5"/>
  <c r="H40" i="6"/>
  <c r="G12" i="6" l="1"/>
  <c r="A29" i="5"/>
  <c r="F30" i="5"/>
  <c r="F12" i="6" s="1"/>
  <c r="G36" i="6" l="1"/>
  <c r="A30" i="5"/>
  <c r="F31" i="5"/>
  <c r="F36" i="6" s="1"/>
  <c r="A31" i="5" l="1"/>
  <c r="D33" i="5"/>
  <c r="D20" i="6" s="1"/>
  <c r="E12" i="6"/>
  <c r="D32" i="5"/>
  <c r="F20" i="6" s="1"/>
  <c r="F33" i="5" l="1"/>
  <c r="D28" i="6" s="1"/>
  <c r="F32" i="5"/>
  <c r="F28" i="6" s="1"/>
  <c r="A32" i="5"/>
  <c r="E36" i="6"/>
  <c r="F24" i="6" l="1"/>
  <c r="A33" i="5"/>
  <c r="D24" i="6" s="1"/>
</calcChain>
</file>

<file path=xl/sharedStrings.xml><?xml version="1.0" encoding="utf-8"?>
<sst xmlns="http://schemas.openxmlformats.org/spreadsheetml/2006/main" count="308" uniqueCount="120">
  <si>
    <t>vs</t>
  </si>
  <si>
    <t>1. Set</t>
  </si>
  <si>
    <t>2. Set</t>
  </si>
  <si>
    <t>3. Set</t>
  </si>
  <si>
    <t>I</t>
  </si>
  <si>
    <t>II</t>
  </si>
  <si>
    <t>III</t>
  </si>
  <si>
    <t>SF</t>
  </si>
  <si>
    <t>3/4</t>
  </si>
  <si>
    <t>F</t>
  </si>
  <si>
    <t>Točke igralca 1</t>
  </si>
  <si>
    <t>Točke igralec 2</t>
  </si>
  <si>
    <t>Točke ekipe skupaj</t>
  </si>
  <si>
    <t>Ime ekipe
 Igralec 1/Igralec 2</t>
  </si>
  <si>
    <t>Št. tekme</t>
  </si>
  <si>
    <t>Krog</t>
  </si>
  <si>
    <t>Igrišče</t>
  </si>
  <si>
    <t>Ekipa 1</t>
  </si>
  <si>
    <t>Ekipa 2</t>
  </si>
  <si>
    <t>Rezultat</t>
  </si>
  <si>
    <t>Čas</t>
  </si>
  <si>
    <t>Ura začetka</t>
  </si>
  <si>
    <t>Ura zaključka</t>
  </si>
  <si>
    <t>Mesto</t>
  </si>
  <si>
    <t>Ekipa</t>
  </si>
  <si>
    <t>Rojen</t>
  </si>
  <si>
    <t xml:space="preserve">Naziv turnirja : </t>
  </si>
  <si>
    <t xml:space="preserve">Rang : </t>
  </si>
  <si>
    <t>Datum turnirja :</t>
  </si>
  <si>
    <t>ime igralca 1</t>
  </si>
  <si>
    <t>priimek igralca 1</t>
  </si>
  <si>
    <t>ime igralca 2</t>
  </si>
  <si>
    <t>priimek igralca 2</t>
  </si>
  <si>
    <t>:</t>
  </si>
  <si>
    <t>REZULTATI</t>
  </si>
  <si>
    <t>Igralec 1</t>
  </si>
  <si>
    <t>Igralec 2</t>
  </si>
  <si>
    <t>Rang turnirja :</t>
  </si>
  <si>
    <t>1.</t>
  </si>
  <si>
    <t>SLO – “C”</t>
  </si>
  <si>
    <t>SLO – “B”</t>
  </si>
  <si>
    <t>SLO – “A”</t>
  </si>
  <si>
    <t>1. mesto</t>
  </si>
  <si>
    <t>2.</t>
  </si>
  <si>
    <t>2. mesto</t>
  </si>
  <si>
    <t>3. mesto</t>
  </si>
  <si>
    <t>3.</t>
  </si>
  <si>
    <t>4. mesto</t>
  </si>
  <si>
    <t>5. mesto</t>
  </si>
  <si>
    <t>4.</t>
  </si>
  <si>
    <t>7. mesto</t>
  </si>
  <si>
    <t>9. mesto</t>
  </si>
  <si>
    <t>5.</t>
  </si>
  <si>
    <t>13. mesto</t>
  </si>
  <si>
    <t>17. mesto</t>
  </si>
  <si>
    <t>25. mesto</t>
  </si>
  <si>
    <t>33. mesto</t>
  </si>
  <si>
    <t>7.</t>
  </si>
  <si>
    <t>9.</t>
  </si>
  <si>
    <t>13.</t>
  </si>
  <si>
    <t>Pozicija</t>
  </si>
  <si>
    <t>Polfinale</t>
  </si>
  <si>
    <t>Finale</t>
  </si>
  <si>
    <t>3./4. mesto</t>
  </si>
  <si>
    <t>Opombe</t>
  </si>
  <si>
    <t>SLO – “D”</t>
  </si>
  <si>
    <r>
      <rPr>
        <sz val="10"/>
        <rFont val="Wingdings"/>
        <charset val="2"/>
      </rPr>
      <t xml:space="preserve"> ÙÙÙÙ</t>
    </r>
    <r>
      <rPr>
        <sz val="10"/>
        <rFont val="Arial"/>
        <family val="2"/>
        <charset val="238"/>
      </rPr>
      <t xml:space="preserve">   </t>
    </r>
    <r>
      <rPr>
        <sz val="10"/>
        <rFont val="Wingdings"/>
        <charset val="2"/>
      </rPr>
      <t>×××</t>
    </r>
    <r>
      <rPr>
        <sz val="10"/>
        <rFont val="Arial"/>
        <family val="2"/>
        <charset val="238"/>
      </rPr>
      <t xml:space="preserve">   A / B / C / D / U17 / U19 / U21</t>
    </r>
  </si>
  <si>
    <t>SLO - U17</t>
  </si>
  <si>
    <t>SLO - U19, U21</t>
  </si>
  <si>
    <t>Državno prvenstvo U-16 dekleta glavni turnir</t>
  </si>
  <si>
    <t>02.07.2023</t>
  </si>
  <si>
    <t xml:space="preserve">Celarc </t>
  </si>
  <si>
    <t>Prater</t>
  </si>
  <si>
    <t>Pšaker</t>
  </si>
  <si>
    <t>Bakan</t>
  </si>
  <si>
    <t>Kos</t>
  </si>
  <si>
    <t>Pečovnik</t>
  </si>
  <si>
    <t>Ferdin</t>
  </si>
  <si>
    <t>Pirih</t>
  </si>
  <si>
    <t>Torej</t>
  </si>
  <si>
    <t>Šketa Rozman</t>
  </si>
  <si>
    <t>Šoštarič</t>
  </si>
  <si>
    <t>Kolar</t>
  </si>
  <si>
    <t>Reflak</t>
  </si>
  <si>
    <t xml:space="preserve">Gorenc Valenta </t>
  </si>
  <si>
    <t xml:space="preserve">Pavlič </t>
  </si>
  <si>
    <t>Danyliuk PORTŽ</t>
  </si>
  <si>
    <t>Veselko PORTŽ</t>
  </si>
  <si>
    <t>Halilovič PORTŽ</t>
  </si>
  <si>
    <t>Knep LUDOS</t>
  </si>
  <si>
    <t xml:space="preserve">OVE GODINE </t>
  </si>
  <si>
    <t>BRAD PIT SEVE</t>
  </si>
  <si>
    <t>shakira</t>
  </si>
  <si>
    <t>https://www.youtube.com/watch?v=Kq4OtRsdXls</t>
  </si>
  <si>
    <t>Kim Kilar VITAL</t>
  </si>
  <si>
    <t>Lavrič VITAL</t>
  </si>
  <si>
    <t>GOLICA</t>
  </si>
  <si>
    <t>Ferk BRASLOVČE</t>
  </si>
  <si>
    <t>SOBA 102</t>
  </si>
  <si>
    <t>tarapana</t>
  </si>
  <si>
    <t>Strle GROSUPLJE</t>
  </si>
  <si>
    <t>Topolovec GROSUPLJE</t>
  </si>
  <si>
    <t>AC DC</t>
  </si>
  <si>
    <t>BALERINA</t>
  </si>
  <si>
    <t>Pražnikar CESTNIK</t>
  </si>
  <si>
    <t>DANES JE MOJ DAN</t>
  </si>
  <si>
    <t>Rošer CESTNIK</t>
  </si>
  <si>
    <t>Rozman CESTNIK</t>
  </si>
  <si>
    <t>GAJBA PUNA PIVA</t>
  </si>
  <si>
    <t>Potočnik LUBNIK</t>
  </si>
  <si>
    <t>KOKTEJL LJUBAVI</t>
  </si>
  <si>
    <t>Činku LUBNIK</t>
  </si>
  <si>
    <t>SUMMER</t>
  </si>
  <si>
    <t>Pintar</t>
  </si>
  <si>
    <t>Hrovat ŠD LOKA</t>
  </si>
  <si>
    <t>KONČANO</t>
  </si>
  <si>
    <t>Krejan slovenj gradec</t>
  </si>
  <si>
    <t>cigu migu</t>
  </si>
  <si>
    <t>13 00</t>
  </si>
  <si>
    <t>V TEKU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</si>
</sst>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 Narrow"/>
      <family val="2"/>
    </font>
    <font>
      <b/>
      <sz val="8"/>
      <name val="Arial"/>
      <family val="2"/>
    </font>
    <font>
      <b/>
      <sz val="7"/>
      <name val="Arial"/>
      <family val="2"/>
    </font>
    <font>
      <sz val="11"/>
      <name val="Arial"/>
      <family val="2"/>
    </font>
    <font>
      <sz val="6"/>
      <name val="Arial"/>
      <family val="2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Wingdings"/>
      <charset val="2"/>
    </font>
    <font>
      <sz val="11"/>
      <name val="Arial Narrow"/>
      <family val="2"/>
      <charset val="238"/>
    </font>
    <font>
      <b/>
      <sz val="12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"/>
      <family val="2"/>
      <charset val="238"/>
    </font>
    <font>
      <b/>
      <sz val="7"/>
      <name val="Arial Narrow"/>
      <family val="2"/>
      <charset val="238"/>
    </font>
    <font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gray06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18" fillId="0" borderId="0" xfId="0" applyFont="1"/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3" fillId="0" borderId="0" xfId="0" applyFont="1" applyAlignment="1" applyProtection="1">
      <alignment horizontal="left"/>
      <protection hidden="1"/>
    </xf>
    <xf numFmtId="0" fontId="1" fillId="4" borderId="1" xfId="0" applyFont="1" applyFill="1" applyBorder="1" applyAlignment="1" applyProtection="1">
      <alignment horizontal="center" vertical="center" textRotation="90" wrapText="1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5" borderId="2" xfId="0" applyFont="1" applyFill="1" applyBorder="1" applyAlignment="1" applyProtection="1">
      <alignment horizontal="center" vertic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4" borderId="2" xfId="0" applyFont="1" applyFill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4" fontId="12" fillId="0" borderId="5" xfId="0" applyNumberFormat="1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Continuous" vertical="center"/>
      <protection hidden="1"/>
    </xf>
    <xf numFmtId="0" fontId="4" fillId="0" borderId="6" xfId="0" applyFont="1" applyBorder="1" applyAlignment="1" applyProtection="1">
      <alignment horizontal="centerContinuous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20" fontId="15" fillId="0" borderId="3" xfId="0" applyNumberFormat="1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20" fontId="15" fillId="0" borderId="4" xfId="0" applyNumberFormat="1" applyFont="1" applyBorder="1" applyAlignment="1" applyProtection="1">
      <alignment horizontal="center" vertical="center"/>
      <protection hidden="1"/>
    </xf>
    <xf numFmtId="0" fontId="2" fillId="6" borderId="9" xfId="0" applyFont="1" applyFill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20" fontId="15" fillId="0" borderId="11" xfId="0" applyNumberFormat="1" applyFont="1" applyBorder="1" applyAlignment="1" applyProtection="1">
      <alignment horizontal="center" vertical="center"/>
      <protection hidden="1"/>
    </xf>
    <xf numFmtId="0" fontId="2" fillId="6" borderId="12" xfId="0" applyFont="1" applyFill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49" fontId="2" fillId="0" borderId="14" xfId="0" applyNumberFormat="1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20" fontId="15" fillId="0" borderId="14" xfId="0" applyNumberFormat="1" applyFont="1" applyBorder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20" fontId="15" fillId="0" borderId="2" xfId="0" applyNumberFormat="1" applyFont="1" applyBorder="1" applyAlignment="1" applyProtection="1">
      <alignment horizontal="center" vertical="center"/>
      <protection hidden="1"/>
    </xf>
    <xf numFmtId="0" fontId="2" fillId="6" borderId="16" xfId="0" applyFont="1" applyFill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6" borderId="17" xfId="0" applyFont="1" applyFill="1" applyBorder="1" applyAlignment="1" applyProtection="1">
      <alignment horizontal="center" vertical="center"/>
      <protection locked="0"/>
    </xf>
    <xf numFmtId="0" fontId="2" fillId="6" borderId="18" xfId="0" applyFont="1" applyFill="1" applyBorder="1" applyAlignment="1" applyProtection="1">
      <alignment horizontal="center" vertical="center"/>
      <protection locked="0"/>
    </xf>
    <xf numFmtId="0" fontId="2" fillId="6" borderId="19" xfId="0" applyFont="1" applyFill="1" applyBorder="1" applyAlignment="1" applyProtection="1">
      <alignment horizontal="center" vertical="center"/>
      <protection locked="0"/>
    </xf>
    <xf numFmtId="0" fontId="2" fillId="6" borderId="20" xfId="0" applyFont="1" applyFill="1" applyBorder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horizontal="center" vertical="center"/>
      <protection locked="0"/>
    </xf>
    <xf numFmtId="0" fontId="2" fillId="6" borderId="21" xfId="0" applyFont="1" applyFill="1" applyBorder="1" applyAlignment="1" applyProtection="1">
      <alignment horizontal="center" vertical="center"/>
      <protection locked="0"/>
    </xf>
    <xf numFmtId="0" fontId="2" fillId="6" borderId="22" xfId="0" applyFont="1" applyFill="1" applyBorder="1" applyAlignment="1" applyProtection="1">
      <alignment horizontal="center" vertical="center"/>
      <protection locked="0"/>
    </xf>
    <xf numFmtId="0" fontId="2" fillId="6" borderId="23" xfId="0" applyFont="1" applyFill="1" applyBorder="1" applyAlignment="1" applyProtection="1">
      <alignment horizontal="center" vertical="center"/>
      <protection locked="0"/>
    </xf>
    <xf numFmtId="0" fontId="2" fillId="6" borderId="24" xfId="0" applyFont="1" applyFill="1" applyBorder="1" applyAlignment="1" applyProtection="1">
      <alignment horizontal="center" vertical="center"/>
      <protection locked="0"/>
    </xf>
    <xf numFmtId="0" fontId="2" fillId="6" borderId="25" xfId="0" applyFont="1" applyFill="1" applyBorder="1" applyAlignment="1" applyProtection="1">
      <alignment horizontal="center" vertical="center"/>
      <protection locked="0"/>
    </xf>
    <xf numFmtId="0" fontId="2" fillId="6" borderId="26" xfId="0" applyFont="1" applyFill="1" applyBorder="1" applyAlignment="1" applyProtection="1">
      <alignment horizontal="center" vertical="center"/>
      <protection locked="0"/>
    </xf>
    <xf numFmtId="20" fontId="0" fillId="6" borderId="22" xfId="0" applyNumberFormat="1" applyFill="1" applyBorder="1" applyAlignment="1" applyProtection="1">
      <alignment horizontal="center" vertical="center"/>
      <protection locked="0"/>
    </xf>
    <xf numFmtId="20" fontId="0" fillId="6" borderId="4" xfId="0" applyNumberFormat="1" applyFill="1" applyBorder="1" applyAlignment="1" applyProtection="1">
      <alignment horizontal="center" vertical="center"/>
      <protection locked="0"/>
    </xf>
    <xf numFmtId="0" fontId="2" fillId="6" borderId="27" xfId="0" applyFont="1" applyFill="1" applyBorder="1" applyAlignment="1" applyProtection="1">
      <alignment horizontal="center" vertical="center"/>
      <protection locked="0"/>
    </xf>
    <xf numFmtId="0" fontId="2" fillId="6" borderId="28" xfId="0" applyFont="1" applyFill="1" applyBorder="1" applyAlignment="1" applyProtection="1">
      <alignment horizontal="center" vertical="center"/>
      <protection locked="0"/>
    </xf>
    <xf numFmtId="20" fontId="0" fillId="6" borderId="23" xfId="0" applyNumberFormat="1" applyFill="1" applyBorder="1" applyAlignment="1" applyProtection="1">
      <alignment horizontal="center" vertical="center"/>
      <protection locked="0"/>
    </xf>
    <xf numFmtId="20" fontId="0" fillId="6" borderId="11" xfId="0" applyNumberFormat="1" applyFill="1" applyBorder="1" applyAlignment="1" applyProtection="1">
      <alignment horizontal="center" vertical="center"/>
      <protection locked="0"/>
    </xf>
    <xf numFmtId="20" fontId="0" fillId="6" borderId="21" xfId="0" applyNumberFormat="1" applyFill="1" applyBorder="1" applyAlignment="1" applyProtection="1">
      <alignment horizontal="center" vertical="center"/>
      <protection locked="0"/>
    </xf>
    <xf numFmtId="20" fontId="0" fillId="6" borderId="3" xfId="0" applyNumberFormat="1" applyFill="1" applyBorder="1" applyAlignment="1" applyProtection="1">
      <alignment horizontal="center" vertical="center"/>
      <protection locked="0"/>
    </xf>
    <xf numFmtId="0" fontId="2" fillId="6" borderId="29" xfId="0" applyFont="1" applyFill="1" applyBorder="1" applyAlignment="1" applyProtection="1">
      <alignment horizontal="center" vertical="center"/>
      <protection locked="0"/>
    </xf>
    <xf numFmtId="20" fontId="0" fillId="6" borderId="30" xfId="0" applyNumberFormat="1" applyFill="1" applyBorder="1" applyAlignment="1" applyProtection="1">
      <alignment horizontal="center" vertical="center"/>
      <protection locked="0"/>
    </xf>
    <xf numFmtId="0" fontId="2" fillId="6" borderId="31" xfId="0" applyFont="1" applyFill="1" applyBorder="1" applyAlignment="1" applyProtection="1">
      <alignment horizontal="center" vertical="center"/>
      <protection locked="0"/>
    </xf>
    <xf numFmtId="20" fontId="0" fillId="6" borderId="2" xfId="0" applyNumberFormat="1" applyFill="1" applyBorder="1" applyAlignment="1" applyProtection="1">
      <alignment horizontal="center" vertical="center"/>
      <protection locked="0"/>
    </xf>
    <xf numFmtId="37" fontId="3" fillId="0" borderId="0" xfId="0" applyNumberFormat="1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32" xfId="0" applyFont="1" applyBorder="1" applyAlignment="1" applyProtection="1">
      <alignment horizontal="center" vertical="center"/>
      <protection hidden="1"/>
    </xf>
    <xf numFmtId="14" fontId="3" fillId="0" borderId="0" xfId="0" applyNumberFormat="1" applyFont="1" applyAlignment="1" applyProtection="1">
      <alignment horizontal="center" vertical="center"/>
      <protection hidden="1"/>
    </xf>
    <xf numFmtId="37" fontId="5" fillId="3" borderId="24" xfId="0" applyNumberFormat="1" applyFont="1" applyFill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3" fillId="0" borderId="32" xfId="0" applyFont="1" applyBorder="1" applyAlignment="1" applyProtection="1">
      <alignment horizontal="left" vertical="center"/>
      <protection hidden="1"/>
    </xf>
    <xf numFmtId="37" fontId="3" fillId="0" borderId="21" xfId="0" applyNumberFormat="1" applyFont="1" applyBorder="1" applyAlignment="1" applyProtection="1">
      <alignment horizontal="left" vertical="center"/>
      <protection hidden="1"/>
    </xf>
    <xf numFmtId="0" fontId="0" fillId="0" borderId="24" xfId="0" applyBorder="1" applyProtection="1">
      <protection hidden="1"/>
    </xf>
    <xf numFmtId="37" fontId="3" fillId="0" borderId="0" xfId="0" applyNumberFormat="1" applyFont="1" applyAlignment="1" applyProtection="1">
      <alignment horizontal="right" vertical="center"/>
      <protection hidden="1"/>
    </xf>
    <xf numFmtId="0" fontId="3" fillId="0" borderId="5" xfId="0" applyFont="1" applyBorder="1" applyAlignment="1" applyProtection="1">
      <alignment horizontal="left" vertical="center"/>
      <protection hidden="1"/>
    </xf>
    <xf numFmtId="37" fontId="3" fillId="0" borderId="0" xfId="0" applyNumberFormat="1" applyFont="1" applyAlignment="1" applyProtection="1">
      <alignment horizontal="left" vertical="center"/>
      <protection hidden="1"/>
    </xf>
    <xf numFmtId="0" fontId="3" fillId="0" borderId="24" xfId="0" applyFont="1" applyBorder="1" applyAlignment="1" applyProtection="1">
      <alignment horizontal="right" vertical="center"/>
      <protection hidden="1"/>
    </xf>
    <xf numFmtId="37" fontId="6" fillId="0" borderId="24" xfId="0" applyNumberFormat="1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37" fontId="3" fillId="0" borderId="33" xfId="0" applyNumberFormat="1" applyFont="1" applyBorder="1" applyAlignment="1" applyProtection="1">
      <alignment horizontal="right" vertical="center"/>
      <protection hidden="1"/>
    </xf>
    <xf numFmtId="0" fontId="3" fillId="0" borderId="33" xfId="0" applyFont="1" applyBorder="1" applyAlignment="1" applyProtection="1">
      <alignment horizontal="center" vertical="center"/>
      <protection hidden="1"/>
    </xf>
    <xf numFmtId="0" fontId="3" fillId="0" borderId="34" xfId="0" applyFont="1" applyBorder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37" fontId="3" fillId="0" borderId="5" xfId="0" applyNumberFormat="1" applyFont="1" applyBorder="1" applyAlignment="1" applyProtection="1">
      <alignment horizontal="right" vertical="center"/>
      <protection hidden="1"/>
    </xf>
    <xf numFmtId="0" fontId="5" fillId="3" borderId="20" xfId="0" applyFont="1" applyFill="1" applyBorder="1" applyAlignment="1" applyProtection="1">
      <alignment horizontal="center" vertical="center"/>
      <protection hidden="1"/>
    </xf>
    <xf numFmtId="37" fontId="3" fillId="0" borderId="24" xfId="0" applyNumberFormat="1" applyFont="1" applyBorder="1" applyAlignment="1" applyProtection="1">
      <alignment horizontal="center" vertical="center"/>
      <protection hidden="1"/>
    </xf>
    <xf numFmtId="0" fontId="0" fillId="0" borderId="20" xfId="0" applyBorder="1" applyProtection="1">
      <protection hidden="1"/>
    </xf>
    <xf numFmtId="0" fontId="3" fillId="0" borderId="35" xfId="0" applyFont="1" applyBorder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37" fontId="3" fillId="0" borderId="17" xfId="0" applyNumberFormat="1" applyFont="1" applyBorder="1" applyAlignment="1" applyProtection="1">
      <alignment horizontal="right" vertical="center"/>
      <protection hidden="1"/>
    </xf>
    <xf numFmtId="37" fontId="1" fillId="0" borderId="3" xfId="0" applyNumberFormat="1" applyFont="1" applyBorder="1" applyAlignment="1" applyProtection="1">
      <alignment horizontal="center" vertical="center"/>
      <protection hidden="1"/>
    </xf>
    <xf numFmtId="0" fontId="3" fillId="0" borderId="32" xfId="0" applyFont="1" applyBorder="1" applyAlignment="1" applyProtection="1">
      <alignment horizontal="right" vertical="center"/>
      <protection hidden="1"/>
    </xf>
    <xf numFmtId="0" fontId="3" fillId="0" borderId="33" xfId="0" applyFont="1" applyBorder="1" applyAlignment="1" applyProtection="1">
      <alignment horizontal="right" vertical="center"/>
      <protection hidden="1"/>
    </xf>
    <xf numFmtId="0" fontId="3" fillId="0" borderId="20" xfId="0" applyFont="1" applyBorder="1" applyAlignment="1" applyProtection="1">
      <alignment vertical="center"/>
      <protection hidden="1"/>
    </xf>
    <xf numFmtId="37" fontId="3" fillId="0" borderId="3" xfId="0" applyNumberFormat="1" applyFont="1" applyBorder="1" applyAlignment="1" applyProtection="1">
      <alignment horizontal="right" vertical="center"/>
      <protection hidden="1"/>
    </xf>
    <xf numFmtId="0" fontId="3" fillId="0" borderId="34" xfId="0" applyFont="1" applyBorder="1" applyAlignment="1" applyProtection="1">
      <alignment horizontal="center" vertical="center"/>
      <protection hidden="1"/>
    </xf>
    <xf numFmtId="37" fontId="3" fillId="0" borderId="24" xfId="0" applyNumberFormat="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right" vertical="center"/>
      <protection hidden="1"/>
    </xf>
    <xf numFmtId="0" fontId="3" fillId="0" borderId="32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7" fillId="0" borderId="20" xfId="0" applyFont="1" applyBorder="1" applyAlignment="1" applyProtection="1">
      <alignment horizontal="center" vertical="center"/>
      <protection hidden="1"/>
    </xf>
    <xf numFmtId="0" fontId="7" fillId="0" borderId="24" xfId="0" applyFont="1" applyBorder="1" applyAlignment="1" applyProtection="1">
      <alignment horizontal="center" vertical="center"/>
      <protection hidden="1"/>
    </xf>
    <xf numFmtId="0" fontId="10" fillId="0" borderId="24" xfId="0" applyFont="1" applyBorder="1" applyAlignment="1" applyProtection="1">
      <alignment horizontal="center" vertical="center"/>
      <protection hidden="1"/>
    </xf>
    <xf numFmtId="37" fontId="5" fillId="3" borderId="20" xfId="0" applyNumberFormat="1" applyFont="1" applyFill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left" vertical="center"/>
      <protection hidden="1"/>
    </xf>
    <xf numFmtId="0" fontId="5" fillId="3" borderId="14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center" vertical="center" textRotation="90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/>
      <protection hidden="1"/>
    </xf>
    <xf numFmtId="0" fontId="12" fillId="0" borderId="7" xfId="0" applyFont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36" xfId="0" applyBorder="1" applyAlignment="1" applyProtection="1">
      <alignment horizontal="left" vertical="center"/>
      <protection hidden="1"/>
    </xf>
    <xf numFmtId="0" fontId="12" fillId="0" borderId="8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0" fontId="0" fillId="0" borderId="37" xfId="0" applyBorder="1" applyAlignment="1" applyProtection="1">
      <alignment horizontal="left" vertical="center"/>
      <protection hidden="1"/>
    </xf>
    <xf numFmtId="0" fontId="12" fillId="0" borderId="38" xfId="0" applyFont="1" applyBorder="1" applyAlignment="1" applyProtection="1">
      <alignment horizontal="center" vertical="center"/>
      <protection hidden="1"/>
    </xf>
    <xf numFmtId="0" fontId="12" fillId="0" borderId="39" xfId="0" applyFont="1" applyBorder="1" applyAlignment="1" applyProtection="1">
      <alignment horizontal="left" vertical="center"/>
      <protection hidden="1"/>
    </xf>
    <xf numFmtId="0" fontId="0" fillId="0" borderId="39" xfId="0" applyBorder="1" applyAlignment="1" applyProtection="1">
      <alignment horizontal="left" vertical="center"/>
      <protection hidden="1"/>
    </xf>
    <xf numFmtId="0" fontId="0" fillId="0" borderId="40" xfId="0" applyBorder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/>
      <protection hidden="1"/>
    </xf>
    <xf numFmtId="0" fontId="18" fillId="0" borderId="0" xfId="0" applyFont="1" applyProtection="1">
      <protection hidden="1"/>
    </xf>
    <xf numFmtId="14" fontId="16" fillId="0" borderId="0" xfId="0" applyNumberFormat="1" applyFont="1" applyAlignment="1" applyProtection="1">
      <alignment horizontal="left"/>
      <protection hidden="1"/>
    </xf>
    <xf numFmtId="0" fontId="19" fillId="0" borderId="0" xfId="0" applyFont="1" applyAlignment="1" applyProtection="1">
      <alignment horizontal="center" wrapText="1"/>
      <protection hidden="1"/>
    </xf>
    <xf numFmtId="0" fontId="19" fillId="0" borderId="4" xfId="0" applyFont="1" applyBorder="1" applyAlignment="1" applyProtection="1">
      <alignment horizontal="center" wrapText="1"/>
      <protection hidden="1"/>
    </xf>
    <xf numFmtId="0" fontId="13" fillId="0" borderId="0" xfId="0" applyFont="1" applyProtection="1">
      <protection hidden="1"/>
    </xf>
    <xf numFmtId="14" fontId="0" fillId="0" borderId="0" xfId="0" applyNumberFormat="1" applyAlignment="1" applyProtection="1">
      <alignment horizontal="left"/>
      <protection hidden="1"/>
    </xf>
    <xf numFmtId="0" fontId="20" fillId="0" borderId="4" xfId="0" applyFont="1" applyBorder="1" applyAlignment="1" applyProtection="1">
      <alignment horizontal="center" vertical="top" wrapText="1"/>
      <protection hidden="1"/>
    </xf>
    <xf numFmtId="0" fontId="13" fillId="0" borderId="0" xfId="0" applyFont="1" applyAlignment="1" applyProtection="1">
      <alignment horizontal="center" vertical="top" wrapText="1"/>
      <protection hidden="1"/>
    </xf>
    <xf numFmtId="0" fontId="13" fillId="0" borderId="0" xfId="0" applyFont="1" applyAlignment="1" applyProtection="1">
      <alignment horizontal="center" wrapText="1"/>
      <protection hidden="1"/>
    </xf>
    <xf numFmtId="37" fontId="1" fillId="0" borderId="24" xfId="0" applyNumberFormat="1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22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64" fontId="0" fillId="7" borderId="3" xfId="0" applyNumberFormat="1" applyFill="1" applyBorder="1" applyAlignment="1" applyProtection="1">
      <alignment horizontal="center" vertical="center"/>
      <protection hidden="1"/>
    </xf>
    <xf numFmtId="0" fontId="0" fillId="7" borderId="3" xfId="0" applyFill="1" applyBorder="1" applyAlignment="1" applyProtection="1">
      <alignment vertical="center"/>
      <protection hidden="1"/>
    </xf>
    <xf numFmtId="0" fontId="0" fillId="7" borderId="4" xfId="0" applyFill="1" applyBorder="1" applyAlignment="1" applyProtection="1">
      <alignment vertical="center"/>
      <protection hidden="1"/>
    </xf>
    <xf numFmtId="14" fontId="0" fillId="7" borderId="4" xfId="0" applyNumberFormat="1" applyFill="1" applyBorder="1" applyAlignment="1" applyProtection="1">
      <alignment vertical="center"/>
      <protection hidden="1"/>
    </xf>
    <xf numFmtId="0" fontId="0" fillId="7" borderId="3" xfId="0" applyFill="1" applyBorder="1" applyAlignment="1" applyProtection="1">
      <alignment horizontal="center" vertical="center"/>
      <protection hidden="1"/>
    </xf>
    <xf numFmtId="0" fontId="0" fillId="7" borderId="4" xfId="0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/>
      <protection hidden="1"/>
    </xf>
    <xf numFmtId="0" fontId="11" fillId="0" borderId="4" xfId="0" applyFont="1" applyBorder="1" applyAlignment="1" applyProtection="1">
      <alignment horizontal="center" wrapText="1"/>
      <protection hidden="1"/>
    </xf>
    <xf numFmtId="0" fontId="11" fillId="0" borderId="4" xfId="0" applyFont="1" applyBorder="1" applyAlignment="1" applyProtection="1">
      <alignment horizontal="center" vertical="top" wrapText="1"/>
      <protection hidden="1"/>
    </xf>
    <xf numFmtId="0" fontId="11" fillId="0" borderId="4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2" fillId="0" borderId="5" xfId="0" applyFont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left" vertical="center"/>
      <protection hidden="1"/>
    </xf>
    <xf numFmtId="14" fontId="2" fillId="0" borderId="0" xfId="0" applyNumberFormat="1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left"/>
      <protection hidden="1"/>
    </xf>
  </cellXfs>
  <cellStyles count="1">
    <cellStyle name="Normal" xfId="0" builtinId="0"/>
  </cellStyles>
  <dxfs count="2"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342900</xdr:colOff>
      <xdr:row>12</xdr:row>
      <xdr:rowOff>47625</xdr:rowOff>
    </xdr:from>
    <xdr:to>
      <xdr:col>4</xdr:col>
      <xdr:colOff>342900</xdr:colOff>
      <xdr:row>18</xdr:row>
      <xdr:rowOff>28575</xdr:rowOff>
    </xdr:to>
    <xdr:sp macro="" textlink="">
      <xdr:nvSpPr>
        <xdr:cNvPr id="2069" name="Line 1">
          <a:extLst>
            <a:ext uri="{FF2B5EF4-FFF2-40B4-BE49-F238E27FC236}">
              <a16:creationId xmlns:a16="http://schemas.microsoft.com/office/drawing/2014/main" id="{00000000-0008-0000-0200-000015080000}"/>
            </a:ext>
          </a:extLst>
        </xdr:cNvPr>
        <xdr:cNvSpPr>
          <a:spLocks noChangeShapeType="1"/>
        </xdr:cNvSpPr>
      </xdr:nvSpPr>
      <xdr:spPr bwMode="auto">
        <a:xfrm>
          <a:off x="3867150" y="1609725"/>
          <a:ext cx="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4</xdr:col>
      <xdr:colOff>342900</xdr:colOff>
      <xdr:row>27</xdr:row>
      <xdr:rowOff>28575</xdr:rowOff>
    </xdr:from>
    <xdr:to>
      <xdr:col>4</xdr:col>
      <xdr:colOff>342900</xdr:colOff>
      <xdr:row>34</xdr:row>
      <xdr:rowOff>19050</xdr:rowOff>
    </xdr:to>
    <xdr:sp macro="" textlink="">
      <xdr:nvSpPr>
        <xdr:cNvPr id="2070" name="Line 2">
          <a:extLst>
            <a:ext uri="{FF2B5EF4-FFF2-40B4-BE49-F238E27FC236}">
              <a16:creationId xmlns:a16="http://schemas.microsoft.com/office/drawing/2014/main" id="{00000000-0008-0000-0200-000016080000}"/>
            </a:ext>
          </a:extLst>
        </xdr:cNvPr>
        <xdr:cNvSpPr>
          <a:spLocks noChangeShapeType="1"/>
        </xdr:cNvSpPr>
      </xdr:nvSpPr>
      <xdr:spPr bwMode="auto">
        <a:xfrm flipV="1">
          <a:off x="3867150" y="3448050"/>
          <a:ext cx="0" cy="857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">
    <pageSetUpPr fitToPage="1"/>
  </sheetPr>
  <dimension ref="A1:O22"/>
  <sheetViews>
    <sheetView tabSelected="1" workbookViewId="0">
      <selection activeCell="H13" sqref="H13"/>
    </sheetView>
  </sheetViews>
  <sheetFormatPr defaultColWidth="8.81640625" defaultRowHeight="12.5" x14ac:dyDescent="0.25"/>
  <cols>
    <col min="1" max="1" width="3" style="2" customWidth="1"/>
    <col min="2" max="3" width="13.81640625" customWidth="1"/>
    <col min="4" max="4" width="10.81640625" customWidth="1"/>
    <col min="5" max="5" width="8.81640625" style="2" customWidth="1"/>
    <col min="6" max="7" width="13.81640625" customWidth="1"/>
    <col min="8" max="8" width="10.81640625" customWidth="1"/>
    <col min="9" max="9" width="8.81640625" style="2" customWidth="1"/>
    <col min="10" max="10" width="11.1796875" style="2" customWidth="1"/>
    <col min="11" max="11" width="22.54296875" customWidth="1"/>
    <col min="12" max="12" width="20.453125" customWidth="1"/>
    <col min="13" max="13" width="12.1796875" customWidth="1"/>
    <col min="14" max="14" width="19.1796875" customWidth="1"/>
    <col min="15" max="15" width="12.453125" customWidth="1"/>
  </cols>
  <sheetData>
    <row r="1" spans="1:15" ht="15.5" x14ac:dyDescent="0.35">
      <c r="A1" s="10" t="s">
        <v>26</v>
      </c>
      <c r="B1" s="11"/>
      <c r="C1" s="204" t="s">
        <v>69</v>
      </c>
      <c r="D1" s="204"/>
      <c r="E1" s="204"/>
      <c r="F1" s="11"/>
      <c r="G1" s="11"/>
      <c r="H1" s="12" t="s">
        <v>27</v>
      </c>
      <c r="I1" s="199"/>
      <c r="J1" s="13" t="str">
        <f>IF(I1="A","OK",IF(I1="B","OK",IF(I1="U17","OK",IF(I1="U19","OK",IF(I1="U21","OK",IF(I1="C","OK","NAPAKA"))))))</f>
        <v>NAPAKA</v>
      </c>
      <c r="K1" s="12"/>
      <c r="L1" s="11"/>
      <c r="M1" s="11"/>
      <c r="N1" s="11"/>
      <c r="O1" s="11"/>
    </row>
    <row r="2" spans="1:15" ht="15.5" x14ac:dyDescent="0.35">
      <c r="A2" s="10"/>
      <c r="B2" s="11"/>
      <c r="C2" s="14"/>
      <c r="D2" s="14"/>
      <c r="E2" s="14"/>
      <c r="F2" s="11"/>
      <c r="G2" s="11"/>
      <c r="H2" s="12"/>
      <c r="I2" s="196" t="s">
        <v>66</v>
      </c>
      <c r="J2" s="13"/>
      <c r="K2" s="12"/>
      <c r="L2" s="11"/>
      <c r="M2" s="11"/>
      <c r="N2" s="11"/>
      <c r="O2" s="11"/>
    </row>
    <row r="3" spans="1:15" ht="15.5" x14ac:dyDescent="0.35">
      <c r="A3" s="15" t="s">
        <v>28</v>
      </c>
      <c r="B3" s="11"/>
      <c r="C3" s="28" t="s">
        <v>70</v>
      </c>
      <c r="D3" s="14"/>
      <c r="E3" s="14"/>
      <c r="F3" s="11"/>
      <c r="G3" s="11"/>
      <c r="H3" s="12"/>
      <c r="I3" s="12"/>
      <c r="J3" s="13"/>
      <c r="K3" s="12"/>
      <c r="L3" s="11"/>
      <c r="M3" s="11"/>
      <c r="N3" s="11"/>
      <c r="O3" s="11"/>
    </row>
    <row r="4" spans="1:15" ht="13" thickBot="1" x14ac:dyDescent="0.3">
      <c r="A4" s="13"/>
      <c r="B4" s="11"/>
      <c r="C4" s="11"/>
      <c r="D4" s="11"/>
      <c r="E4" s="13"/>
      <c r="F4" s="11"/>
      <c r="G4" s="11"/>
      <c r="H4" s="11"/>
      <c r="I4" s="12"/>
      <c r="J4" s="13"/>
      <c r="K4" s="13"/>
      <c r="L4" s="11"/>
      <c r="M4" s="11"/>
      <c r="N4" s="11"/>
      <c r="O4" s="11"/>
    </row>
    <row r="5" spans="1:15" ht="44.25" customHeight="1" thickTop="1" thickBot="1" x14ac:dyDescent="0.3">
      <c r="A5" s="16" t="s">
        <v>60</v>
      </c>
      <c r="B5" s="17" t="s">
        <v>29</v>
      </c>
      <c r="C5" s="17" t="s">
        <v>30</v>
      </c>
      <c r="D5" s="17" t="s">
        <v>25</v>
      </c>
      <c r="E5" s="18" t="s">
        <v>10</v>
      </c>
      <c r="F5" s="19" t="s">
        <v>31</v>
      </c>
      <c r="G5" s="19" t="s">
        <v>32</v>
      </c>
      <c r="H5" s="19" t="s">
        <v>25</v>
      </c>
      <c r="I5" s="20" t="s">
        <v>11</v>
      </c>
      <c r="J5" s="21" t="s">
        <v>12</v>
      </c>
      <c r="K5" s="21" t="s">
        <v>13</v>
      </c>
      <c r="L5" s="11"/>
      <c r="M5" s="11"/>
      <c r="N5" s="11"/>
      <c r="O5" s="11"/>
    </row>
    <row r="6" spans="1:15" s="1" customFormat="1" ht="18" customHeight="1" thickTop="1" x14ac:dyDescent="0.25">
      <c r="A6" s="194">
        <v>1</v>
      </c>
      <c r="B6" s="22"/>
      <c r="C6" s="200" t="s">
        <v>71</v>
      </c>
      <c r="D6" s="24"/>
      <c r="E6" s="25"/>
      <c r="F6" s="23"/>
      <c r="G6" s="200" t="s">
        <v>89</v>
      </c>
      <c r="H6" s="26" t="s">
        <v>90</v>
      </c>
      <c r="I6" s="25"/>
      <c r="J6" s="190">
        <f>SUM(E6,I6)</f>
        <v>0</v>
      </c>
      <c r="K6" s="191" t="str">
        <f>CONCATENATE(C6," / ",G6)</f>
        <v>Celarc  / Knep LUDOS</v>
      </c>
      <c r="L6" s="192" t="str">
        <f t="shared" ref="L6:L21" si="0">CONCATENATE(C6," ",B6)</f>
        <v xml:space="preserve">Celarc  </v>
      </c>
      <c r="M6" s="193">
        <f>D6</f>
        <v>0</v>
      </c>
      <c r="N6" s="192" t="str">
        <f>CONCATENATE(G6," ",F6)</f>
        <v xml:space="preserve">Knep LUDOS </v>
      </c>
      <c r="O6" s="193" t="str">
        <f>H6</f>
        <v xml:space="preserve">OVE GODINE </v>
      </c>
    </row>
    <row r="7" spans="1:15" s="1" customFormat="1" ht="18" customHeight="1" x14ac:dyDescent="0.25">
      <c r="A7" s="195">
        <v>2</v>
      </c>
      <c r="B7" s="22"/>
      <c r="C7" s="201" t="s">
        <v>72</v>
      </c>
      <c r="D7" s="24"/>
      <c r="E7" s="27"/>
      <c r="F7" s="23"/>
      <c r="G7" s="201" t="s">
        <v>116</v>
      </c>
      <c r="H7" s="26" t="s">
        <v>117</v>
      </c>
      <c r="I7" s="27"/>
      <c r="J7" s="190">
        <f t="shared" ref="J7:J21" si="1">SUM(E7,I7)</f>
        <v>0</v>
      </c>
      <c r="K7" s="191" t="str">
        <f t="shared" ref="K7:K21" si="2">CONCATENATE(C7," / ",G7)</f>
        <v>Prater / Krejan slovenj gradec</v>
      </c>
      <c r="L7" s="192" t="str">
        <f t="shared" si="0"/>
        <v xml:space="preserve">Prater </v>
      </c>
      <c r="M7" s="193">
        <f t="shared" ref="M7:M21" si="3">D7</f>
        <v>0</v>
      </c>
      <c r="N7" s="192" t="str">
        <f t="shared" ref="N7:N21" si="4">CONCATENATE(G7," ",F7)</f>
        <v xml:space="preserve">Krejan slovenj gradec </v>
      </c>
      <c r="O7" s="193" t="str">
        <f t="shared" ref="O7:O21" si="5">H7</f>
        <v>cigu migu</v>
      </c>
    </row>
    <row r="8" spans="1:15" s="1" customFormat="1" ht="18" customHeight="1" x14ac:dyDescent="0.25">
      <c r="A8" s="195">
        <v>3</v>
      </c>
      <c r="B8" s="22"/>
      <c r="C8" s="201" t="s">
        <v>73</v>
      </c>
      <c r="D8" s="24"/>
      <c r="E8" s="27"/>
      <c r="F8" s="23"/>
      <c r="G8" s="201" t="s">
        <v>104</v>
      </c>
      <c r="H8" s="26" t="s">
        <v>105</v>
      </c>
      <c r="I8" s="27"/>
      <c r="J8" s="190">
        <f t="shared" si="1"/>
        <v>0</v>
      </c>
      <c r="K8" s="191" t="str">
        <f t="shared" si="2"/>
        <v>Pšaker / Pražnikar CESTNIK</v>
      </c>
      <c r="L8" s="192" t="str">
        <f t="shared" si="0"/>
        <v xml:space="preserve">Pšaker </v>
      </c>
      <c r="M8" s="193">
        <f t="shared" si="3"/>
        <v>0</v>
      </c>
      <c r="N8" s="192" t="str">
        <f t="shared" si="4"/>
        <v xml:space="preserve">Pražnikar CESTNIK </v>
      </c>
      <c r="O8" s="193" t="str">
        <f t="shared" si="5"/>
        <v>DANES JE MOJ DAN</v>
      </c>
    </row>
    <row r="9" spans="1:15" s="1" customFormat="1" ht="18" customHeight="1" x14ac:dyDescent="0.25">
      <c r="A9" s="195">
        <v>4</v>
      </c>
      <c r="B9" s="22"/>
      <c r="C9" s="201" t="s">
        <v>74</v>
      </c>
      <c r="D9" s="24"/>
      <c r="E9" s="27"/>
      <c r="F9" s="23"/>
      <c r="G9" s="201" t="s">
        <v>100</v>
      </c>
      <c r="H9" s="26" t="s">
        <v>99</v>
      </c>
      <c r="I9" s="27"/>
      <c r="J9" s="190">
        <f t="shared" si="1"/>
        <v>0</v>
      </c>
      <c r="K9" s="191" t="str">
        <f t="shared" si="2"/>
        <v>Bakan / Strle GROSUPLJE</v>
      </c>
      <c r="L9" s="192" t="str">
        <f t="shared" si="0"/>
        <v xml:space="preserve">Bakan </v>
      </c>
      <c r="M9" s="193">
        <f t="shared" si="3"/>
        <v>0</v>
      </c>
      <c r="N9" s="192" t="str">
        <f t="shared" si="4"/>
        <v xml:space="preserve">Strle GROSUPLJE </v>
      </c>
      <c r="O9" s="193" t="str">
        <f t="shared" si="5"/>
        <v>tarapana</v>
      </c>
    </row>
    <row r="10" spans="1:15" s="1" customFormat="1" ht="18" customHeight="1" x14ac:dyDescent="0.25">
      <c r="A10" s="195">
        <v>5</v>
      </c>
      <c r="B10" s="22"/>
      <c r="C10" s="201" t="s">
        <v>113</v>
      </c>
      <c r="D10" s="24"/>
      <c r="E10" s="27"/>
      <c r="F10" s="23"/>
      <c r="G10" s="201" t="s">
        <v>114</v>
      </c>
      <c r="H10" s="26" t="s">
        <v>93</v>
      </c>
      <c r="I10" s="27"/>
      <c r="J10" s="190">
        <f t="shared" si="1"/>
        <v>0</v>
      </c>
      <c r="K10" s="191" t="str">
        <f t="shared" si="2"/>
        <v>Pintar / Hrovat ŠD LOKA</v>
      </c>
      <c r="L10" s="192" t="str">
        <f t="shared" si="0"/>
        <v xml:space="preserve">Pintar </v>
      </c>
      <c r="M10" s="193">
        <f t="shared" si="3"/>
        <v>0</v>
      </c>
      <c r="N10" s="192" t="str">
        <f t="shared" si="4"/>
        <v xml:space="preserve">Hrovat ŠD LOKA </v>
      </c>
      <c r="O10" s="193" t="str">
        <f t="shared" si="5"/>
        <v>https://www.youtube.com/watch?v=Kq4OtRsdXls</v>
      </c>
    </row>
    <row r="11" spans="1:15" s="1" customFormat="1" ht="18" customHeight="1" x14ac:dyDescent="0.25">
      <c r="A11" s="195">
        <v>6</v>
      </c>
      <c r="B11" s="22"/>
      <c r="C11" s="201" t="s">
        <v>75</v>
      </c>
      <c r="D11" s="24"/>
      <c r="E11" s="27"/>
      <c r="F11" s="23"/>
      <c r="G11" s="201" t="s">
        <v>101</v>
      </c>
      <c r="H11" s="26" t="s">
        <v>102</v>
      </c>
      <c r="I11" s="27"/>
      <c r="J11" s="190">
        <f t="shared" si="1"/>
        <v>0</v>
      </c>
      <c r="K11" s="191" t="str">
        <f t="shared" si="2"/>
        <v>Kos / Topolovec GROSUPLJE</v>
      </c>
      <c r="L11" s="192" t="str">
        <f t="shared" si="0"/>
        <v xml:space="preserve">Kos </v>
      </c>
      <c r="M11" s="193">
        <f t="shared" si="3"/>
        <v>0</v>
      </c>
      <c r="N11" s="192" t="str">
        <f t="shared" si="4"/>
        <v xml:space="preserve">Topolovec GROSUPLJE </v>
      </c>
      <c r="O11" s="193" t="str">
        <f t="shared" si="5"/>
        <v>AC DC</v>
      </c>
    </row>
    <row r="12" spans="1:15" s="1" customFormat="1" ht="18" customHeight="1" x14ac:dyDescent="0.25">
      <c r="A12" s="195">
        <v>7</v>
      </c>
      <c r="B12" s="22"/>
      <c r="C12" s="201" t="s">
        <v>76</v>
      </c>
      <c r="D12" s="24"/>
      <c r="E12" s="27"/>
      <c r="F12" s="23"/>
      <c r="G12" s="201" t="s">
        <v>97</v>
      </c>
      <c r="H12" s="26" t="s">
        <v>98</v>
      </c>
      <c r="I12" s="27"/>
      <c r="J12" s="190">
        <f t="shared" si="1"/>
        <v>0</v>
      </c>
      <c r="K12" s="191" t="str">
        <f t="shared" si="2"/>
        <v>Pečovnik / Ferk BRASLOVČE</v>
      </c>
      <c r="L12" s="192" t="str">
        <f t="shared" si="0"/>
        <v xml:space="preserve">Pečovnik </v>
      </c>
      <c r="M12" s="193">
        <f t="shared" si="3"/>
        <v>0</v>
      </c>
      <c r="N12" s="192" t="str">
        <f t="shared" si="4"/>
        <v xml:space="preserve">Ferk BRASLOVČE </v>
      </c>
      <c r="O12" s="193" t="str">
        <f t="shared" si="5"/>
        <v>SOBA 102</v>
      </c>
    </row>
    <row r="13" spans="1:15" s="1" customFormat="1" ht="18" customHeight="1" x14ac:dyDescent="0.25">
      <c r="A13" s="195">
        <v>8</v>
      </c>
      <c r="B13" s="22"/>
      <c r="C13" s="201" t="s">
        <v>77</v>
      </c>
      <c r="D13" s="24"/>
      <c r="E13" s="27"/>
      <c r="F13" s="23"/>
      <c r="G13" s="201" t="s">
        <v>109</v>
      </c>
      <c r="H13" s="26" t="s">
        <v>110</v>
      </c>
      <c r="I13" s="27"/>
      <c r="J13" s="190">
        <f t="shared" si="1"/>
        <v>0</v>
      </c>
      <c r="K13" s="191" t="str">
        <f t="shared" si="2"/>
        <v>Ferdin / Potočnik LUBNIK</v>
      </c>
      <c r="L13" s="192" t="str">
        <f t="shared" si="0"/>
        <v xml:space="preserve">Ferdin </v>
      </c>
      <c r="M13" s="193">
        <f t="shared" si="3"/>
        <v>0</v>
      </c>
      <c r="N13" s="192" t="str">
        <f t="shared" si="4"/>
        <v xml:space="preserve">Potočnik LUBNIK </v>
      </c>
      <c r="O13" s="193" t="str">
        <f t="shared" si="5"/>
        <v>KOKTEJL LJUBAVI</v>
      </c>
    </row>
    <row r="14" spans="1:15" s="1" customFormat="1" ht="18" customHeight="1" x14ac:dyDescent="0.25">
      <c r="A14" s="195">
        <v>9</v>
      </c>
      <c r="B14" s="22"/>
      <c r="C14" s="201" t="s">
        <v>84</v>
      </c>
      <c r="D14" s="24"/>
      <c r="E14" s="27"/>
      <c r="F14" s="23"/>
      <c r="G14" s="201" t="s">
        <v>87</v>
      </c>
      <c r="H14" s="26" t="s">
        <v>92</v>
      </c>
      <c r="I14" s="27"/>
      <c r="J14" s="190">
        <f t="shared" si="1"/>
        <v>0</v>
      </c>
      <c r="K14" s="191" t="str">
        <f t="shared" si="2"/>
        <v>Gorenc Valenta  / Veselko PORTŽ</v>
      </c>
      <c r="L14" s="192" t="str">
        <f t="shared" si="0"/>
        <v xml:space="preserve">Gorenc Valenta  </v>
      </c>
      <c r="M14" s="193">
        <f t="shared" si="3"/>
        <v>0</v>
      </c>
      <c r="N14" s="192" t="str">
        <f t="shared" si="4"/>
        <v xml:space="preserve">Veselko PORTŽ </v>
      </c>
      <c r="O14" s="193" t="str">
        <f t="shared" si="5"/>
        <v>shakira</v>
      </c>
    </row>
    <row r="15" spans="1:15" s="1" customFormat="1" ht="18" customHeight="1" x14ac:dyDescent="0.25">
      <c r="A15" s="195">
        <v>10</v>
      </c>
      <c r="B15" s="22"/>
      <c r="C15" s="201" t="s">
        <v>78</v>
      </c>
      <c r="D15" s="24"/>
      <c r="E15" s="27"/>
      <c r="F15" s="23"/>
      <c r="G15" s="201" t="s">
        <v>111</v>
      </c>
      <c r="H15" s="26" t="s">
        <v>112</v>
      </c>
      <c r="I15" s="27"/>
      <c r="J15" s="190">
        <f t="shared" si="1"/>
        <v>0</v>
      </c>
      <c r="K15" s="191" t="str">
        <f t="shared" si="2"/>
        <v>Pirih / Činku LUBNIK</v>
      </c>
      <c r="L15" s="192" t="str">
        <f t="shared" si="0"/>
        <v xml:space="preserve">Pirih </v>
      </c>
      <c r="M15" s="193">
        <f t="shared" si="3"/>
        <v>0</v>
      </c>
      <c r="N15" s="192" t="str">
        <f t="shared" si="4"/>
        <v xml:space="preserve">Činku LUBNIK </v>
      </c>
      <c r="O15" s="193" t="str">
        <f t="shared" si="5"/>
        <v>SUMMER</v>
      </c>
    </row>
    <row r="16" spans="1:15" s="1" customFormat="1" ht="18" customHeight="1" x14ac:dyDescent="0.25">
      <c r="A16" s="195">
        <v>11</v>
      </c>
      <c r="B16" s="22"/>
      <c r="C16" s="201" t="s">
        <v>85</v>
      </c>
      <c r="D16" s="24"/>
      <c r="E16" s="27"/>
      <c r="F16" s="23"/>
      <c r="G16" s="201" t="s">
        <v>86</v>
      </c>
      <c r="H16" s="26"/>
      <c r="I16" s="27"/>
      <c r="J16" s="190">
        <f t="shared" si="1"/>
        <v>0</v>
      </c>
      <c r="K16" s="191" t="str">
        <f t="shared" si="2"/>
        <v>Pavlič  / Danyliuk PORTŽ</v>
      </c>
      <c r="L16" s="192" t="str">
        <f t="shared" si="0"/>
        <v xml:space="preserve">Pavlič  </v>
      </c>
      <c r="M16" s="193">
        <f t="shared" si="3"/>
        <v>0</v>
      </c>
      <c r="N16" s="192" t="str">
        <f t="shared" si="4"/>
        <v xml:space="preserve">Danyliuk PORTŽ </v>
      </c>
      <c r="O16" s="193">
        <f t="shared" si="5"/>
        <v>0</v>
      </c>
    </row>
    <row r="17" spans="1:15" s="1" customFormat="1" ht="18" customHeight="1" thickBot="1" x14ac:dyDescent="0.3">
      <c r="A17" s="195">
        <v>12</v>
      </c>
      <c r="B17" s="22"/>
      <c r="C17" s="202" t="s">
        <v>79</v>
      </c>
      <c r="D17" s="24"/>
      <c r="E17" s="27"/>
      <c r="F17" s="23"/>
      <c r="G17" s="202" t="s">
        <v>88</v>
      </c>
      <c r="H17" s="26" t="s">
        <v>91</v>
      </c>
      <c r="I17" s="27"/>
      <c r="J17" s="190">
        <f t="shared" si="1"/>
        <v>0</v>
      </c>
      <c r="K17" s="191" t="str">
        <f t="shared" si="2"/>
        <v>Torej / Halilovič PORTŽ</v>
      </c>
      <c r="L17" s="192" t="str">
        <f t="shared" si="0"/>
        <v xml:space="preserve">Torej </v>
      </c>
      <c r="M17" s="193">
        <f t="shared" si="3"/>
        <v>0</v>
      </c>
      <c r="N17" s="192" t="str">
        <f t="shared" si="4"/>
        <v xml:space="preserve">Halilovič PORTŽ </v>
      </c>
      <c r="O17" s="193" t="str">
        <f t="shared" si="5"/>
        <v>BRAD PIT SEVE</v>
      </c>
    </row>
    <row r="18" spans="1:15" s="1" customFormat="1" ht="18" customHeight="1" x14ac:dyDescent="0.25">
      <c r="A18" s="195">
        <v>13</v>
      </c>
      <c r="B18" s="22"/>
      <c r="C18" s="203" t="s">
        <v>80</v>
      </c>
      <c r="D18" s="24"/>
      <c r="E18" s="27"/>
      <c r="F18" s="23"/>
      <c r="G18" s="203" t="s">
        <v>107</v>
      </c>
      <c r="H18" s="26" t="s">
        <v>108</v>
      </c>
      <c r="I18" s="27"/>
      <c r="J18" s="190">
        <f t="shared" si="1"/>
        <v>0</v>
      </c>
      <c r="K18" s="191" t="str">
        <f t="shared" si="2"/>
        <v>Šketa Rozman / Rozman CESTNIK</v>
      </c>
      <c r="L18" s="192" t="str">
        <f t="shared" si="0"/>
        <v xml:space="preserve">Šketa Rozman </v>
      </c>
      <c r="M18" s="193">
        <f t="shared" si="3"/>
        <v>0</v>
      </c>
      <c r="N18" s="192" t="str">
        <f t="shared" si="4"/>
        <v xml:space="preserve">Rozman CESTNIK </v>
      </c>
      <c r="O18" s="193" t="str">
        <f t="shared" si="5"/>
        <v>GAJBA PUNA PIVA</v>
      </c>
    </row>
    <row r="19" spans="1:15" s="1" customFormat="1" ht="18" customHeight="1" x14ac:dyDescent="0.25">
      <c r="A19" s="195">
        <v>14</v>
      </c>
      <c r="B19" s="22"/>
      <c r="C19" s="203" t="s">
        <v>81</v>
      </c>
      <c r="D19" s="24"/>
      <c r="E19" s="27"/>
      <c r="F19" s="23"/>
      <c r="G19" s="203" t="s">
        <v>106</v>
      </c>
      <c r="H19" s="26"/>
      <c r="I19" s="27"/>
      <c r="J19" s="190">
        <f t="shared" si="1"/>
        <v>0</v>
      </c>
      <c r="K19" s="191" t="str">
        <f t="shared" si="2"/>
        <v>Šoštarič / Rošer CESTNIK</v>
      </c>
      <c r="L19" s="192" t="str">
        <f t="shared" si="0"/>
        <v xml:space="preserve">Šoštarič </v>
      </c>
      <c r="M19" s="193">
        <f t="shared" si="3"/>
        <v>0</v>
      </c>
      <c r="N19" s="192" t="str">
        <f t="shared" si="4"/>
        <v xml:space="preserve">Rošer CESTNIK </v>
      </c>
      <c r="O19" s="193">
        <f t="shared" si="5"/>
        <v>0</v>
      </c>
    </row>
    <row r="20" spans="1:15" s="1" customFormat="1" ht="18" customHeight="1" x14ac:dyDescent="0.25">
      <c r="A20" s="195">
        <v>15</v>
      </c>
      <c r="B20" s="22"/>
      <c r="C20" s="203" t="s">
        <v>82</v>
      </c>
      <c r="D20" s="24"/>
      <c r="E20" s="27"/>
      <c r="F20" s="23"/>
      <c r="G20" s="203" t="s">
        <v>95</v>
      </c>
      <c r="H20" s="26" t="s">
        <v>96</v>
      </c>
      <c r="I20" s="27"/>
      <c r="J20" s="190">
        <f t="shared" si="1"/>
        <v>0</v>
      </c>
      <c r="K20" s="191" t="str">
        <f t="shared" si="2"/>
        <v>Kolar / Lavrič VITAL</v>
      </c>
      <c r="L20" s="192" t="str">
        <f t="shared" si="0"/>
        <v xml:space="preserve">Kolar </v>
      </c>
      <c r="M20" s="193">
        <f t="shared" si="3"/>
        <v>0</v>
      </c>
      <c r="N20" s="192" t="str">
        <f t="shared" si="4"/>
        <v xml:space="preserve">Lavrič VITAL </v>
      </c>
      <c r="O20" s="193" t="str">
        <f t="shared" si="5"/>
        <v>GOLICA</v>
      </c>
    </row>
    <row r="21" spans="1:15" s="1" customFormat="1" ht="18" customHeight="1" x14ac:dyDescent="0.25">
      <c r="A21" s="195">
        <v>16</v>
      </c>
      <c r="B21" s="22"/>
      <c r="C21" s="203" t="s">
        <v>83</v>
      </c>
      <c r="D21" s="24"/>
      <c r="E21" s="27"/>
      <c r="F21" s="23"/>
      <c r="G21" s="203" t="s">
        <v>94</v>
      </c>
      <c r="H21" s="26" t="s">
        <v>103</v>
      </c>
      <c r="I21" s="27"/>
      <c r="J21" s="190">
        <f t="shared" si="1"/>
        <v>0</v>
      </c>
      <c r="K21" s="191" t="str">
        <f t="shared" si="2"/>
        <v>Reflak / Kim Kilar VITAL</v>
      </c>
      <c r="L21" s="192" t="str">
        <f t="shared" si="0"/>
        <v xml:space="preserve">Reflak </v>
      </c>
      <c r="M21" s="193">
        <f t="shared" si="3"/>
        <v>0</v>
      </c>
      <c r="N21" s="192" t="str">
        <f t="shared" si="4"/>
        <v xml:space="preserve">Kim Kilar VITAL </v>
      </c>
      <c r="O21" s="193" t="str">
        <f t="shared" si="5"/>
        <v>BALERINA</v>
      </c>
    </row>
    <row r="22" spans="1:15" x14ac:dyDescent="0.25">
      <c r="A22" s="13"/>
      <c r="B22" s="11"/>
      <c r="C22" s="11"/>
      <c r="D22" s="11"/>
      <c r="E22" s="13"/>
      <c r="F22" s="11"/>
      <c r="G22" s="11"/>
      <c r="H22" s="11"/>
      <c r="I22" s="13"/>
      <c r="J22" s="13"/>
      <c r="K22" s="11"/>
      <c r="L22" s="11"/>
      <c r="M22" s="11"/>
      <c r="N22" s="11"/>
      <c r="O22" s="11"/>
    </row>
  </sheetData>
  <sheetProtection sheet="1" selectLockedCells="1"/>
  <mergeCells count="1">
    <mergeCell ref="C1:E1"/>
  </mergeCells>
  <phoneticPr fontId="0" type="noConversion"/>
  <conditionalFormatting sqref="J1:J3">
    <cfRule type="containsText" dxfId="1" priority="1" stopIfTrue="1" operator="containsText" text="OK">
      <formula>NOT(ISERROR(SEARCH("OK",J1)))</formula>
    </cfRule>
    <cfRule type="containsText" dxfId="0" priority="2" stopIfTrue="1" operator="containsText" text="NAPAKA">
      <formula>NOT(ISERROR(SEARCH("NAPAKA",J1)))</formula>
    </cfRule>
  </conditionalFormatting>
  <printOptions horizontalCentered="1"/>
  <pageMargins left="0.74803149606299213" right="0.74803149606299213" top="1.08" bottom="0.39370078740157483" header="0.51181102362204722" footer="0.39370078740157483"/>
  <pageSetup paperSize="9" orientation="landscape" horizontalDpi="4294967292" verticalDpi="4294967292" r:id="rId1"/>
  <headerFooter alignWithMargins="0">
    <oddHeader>&amp;C&amp;16EKIPE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2"/>
  <dimension ref="A1:V34"/>
  <sheetViews>
    <sheetView topLeftCell="A10" zoomScale="75" workbookViewId="0">
      <selection activeCell="Q32" sqref="Q32"/>
    </sheetView>
  </sheetViews>
  <sheetFormatPr defaultColWidth="9.1796875" defaultRowHeight="15.5" x14ac:dyDescent="0.25"/>
  <cols>
    <col min="1" max="1" width="7.54296875" style="4" customWidth="1"/>
    <col min="2" max="2" width="8" style="4" customWidth="1"/>
    <col min="3" max="3" width="6.81640625" style="4" customWidth="1"/>
    <col min="4" max="4" width="29.453125" style="4" customWidth="1"/>
    <col min="5" max="5" width="3.54296875" style="4" customWidth="1"/>
    <col min="6" max="6" width="29.453125" style="4" customWidth="1"/>
    <col min="7" max="7" width="3.81640625" style="4" customWidth="1"/>
    <col min="8" max="8" width="1.81640625" style="4" customWidth="1"/>
    <col min="9" max="9" width="3.81640625" style="4" customWidth="1"/>
    <col min="10" max="10" width="6.81640625" style="4" customWidth="1"/>
    <col min="11" max="11" width="3.81640625" style="4" customWidth="1"/>
    <col min="12" max="12" width="1.81640625" style="4" customWidth="1"/>
    <col min="13" max="14" width="3.81640625" style="4" customWidth="1"/>
    <col min="15" max="15" width="1.81640625" style="4" customWidth="1"/>
    <col min="16" max="17" width="3.81640625" style="4" customWidth="1"/>
    <col min="18" max="18" width="1.81640625" style="4" customWidth="1"/>
    <col min="19" max="19" width="3.81640625" style="4" customWidth="1"/>
    <col min="20" max="21" width="9.1796875" style="3"/>
    <col min="22" max="22" width="45.1796875" style="3" customWidth="1"/>
    <col min="23" max="16384" width="9.1796875" style="3"/>
  </cols>
  <sheetData>
    <row r="1" spans="1:22" x14ac:dyDescent="0.25">
      <c r="A1" s="205" t="str">
        <f>'Seznam ekip'!C1</f>
        <v>Državno prvenstvo U-16 dekleta glavni turnir</v>
      </c>
      <c r="B1" s="205"/>
      <c r="C1" s="205"/>
      <c r="D1" s="205"/>
      <c r="E1" s="205"/>
      <c r="F1" s="205"/>
      <c r="G1" s="206" t="str">
        <f>'Seznam ekip'!C3</f>
        <v>02.07.2023</v>
      </c>
      <c r="H1" s="206"/>
      <c r="I1" s="206"/>
      <c r="J1" s="206"/>
      <c r="K1" s="29"/>
      <c r="L1" s="29"/>
      <c r="M1" s="29"/>
      <c r="N1" s="29"/>
      <c r="O1" s="29"/>
      <c r="P1" s="29"/>
      <c r="Q1" s="30"/>
      <c r="R1" s="29"/>
      <c r="S1" s="31" t="s">
        <v>34</v>
      </c>
      <c r="T1" s="30"/>
      <c r="U1" s="30"/>
    </row>
    <row r="2" spans="1:22" ht="16" thickBo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30"/>
      <c r="U2" s="30"/>
    </row>
    <row r="3" spans="1:22" ht="47.25" customHeight="1" thickTop="1" thickBot="1" x14ac:dyDescent="0.3">
      <c r="A3" s="32" t="s">
        <v>14</v>
      </c>
      <c r="B3" s="33" t="s">
        <v>15</v>
      </c>
      <c r="C3" s="34" t="s">
        <v>16</v>
      </c>
      <c r="D3" s="35" t="s">
        <v>17</v>
      </c>
      <c r="E3" s="35" t="s">
        <v>0</v>
      </c>
      <c r="F3" s="35" t="s">
        <v>18</v>
      </c>
      <c r="G3" s="36" t="s">
        <v>19</v>
      </c>
      <c r="H3" s="36"/>
      <c r="I3" s="36"/>
      <c r="J3" s="33" t="s">
        <v>20</v>
      </c>
      <c r="K3" s="36" t="s">
        <v>1</v>
      </c>
      <c r="L3" s="36"/>
      <c r="M3" s="36"/>
      <c r="N3" s="36" t="s">
        <v>2</v>
      </c>
      <c r="O3" s="36"/>
      <c r="P3" s="36"/>
      <c r="Q3" s="36" t="s">
        <v>3</v>
      </c>
      <c r="R3" s="36"/>
      <c r="S3" s="37"/>
      <c r="T3" s="185" t="s">
        <v>21</v>
      </c>
      <c r="U3" s="184" t="s">
        <v>22</v>
      </c>
      <c r="V3" s="186" t="s">
        <v>64</v>
      </c>
    </row>
    <row r="4" spans="1:22" ht="16" thickTop="1" x14ac:dyDescent="0.25">
      <c r="A4" s="38">
        <v>1</v>
      </c>
      <c r="B4" s="39" t="s">
        <v>4</v>
      </c>
      <c r="C4" s="64">
        <v>3</v>
      </c>
      <c r="D4" s="39" t="str">
        <f>IF('Seznam ekip'!$K$6=" / ",CONCATENATE("Ekipa št. ",'Seznam ekip'!$A$6),'Seznam ekip'!$K$6)</f>
        <v>Celarc  / Knep LUDOS</v>
      </c>
      <c r="E4" s="39" t="s">
        <v>0</v>
      </c>
      <c r="F4" s="39" t="str">
        <f>IF('Seznam ekip'!$K$21=" / ",CONCATENATE("Ekipa št. ",'Seznam ekip'!$A$21),'Seznam ekip'!$K$21)</f>
        <v>Reflak / Kim Kilar VITAL</v>
      </c>
      <c r="G4" s="69">
        <v>2</v>
      </c>
      <c r="H4" s="40" t="s">
        <v>33</v>
      </c>
      <c r="I4" s="74">
        <v>0</v>
      </c>
      <c r="J4" s="41">
        <f t="shared" ref="J4:J33" si="0">SUM(U4-T4)</f>
        <v>-0.41666666666666669</v>
      </c>
      <c r="K4" s="79">
        <v>15</v>
      </c>
      <c r="L4" s="42" t="s">
        <v>33</v>
      </c>
      <c r="M4" s="84">
        <v>6</v>
      </c>
      <c r="N4" s="79">
        <v>15</v>
      </c>
      <c r="O4" s="42" t="s">
        <v>33</v>
      </c>
      <c r="P4" s="84">
        <v>3</v>
      </c>
      <c r="Q4" s="79"/>
      <c r="R4" s="42" t="s">
        <v>33</v>
      </c>
      <c r="S4" s="89"/>
      <c r="T4" s="90">
        <v>0.41666666666666669</v>
      </c>
      <c r="U4" s="91"/>
      <c r="V4" s="27" t="s">
        <v>115</v>
      </c>
    </row>
    <row r="5" spans="1:22" x14ac:dyDescent="0.25">
      <c r="A5" s="43">
        <f t="shared" ref="A5:A33" si="1">SUM(A4,1)</f>
        <v>2</v>
      </c>
      <c r="B5" s="44" t="s">
        <v>4</v>
      </c>
      <c r="C5" s="65">
        <v>2</v>
      </c>
      <c r="D5" s="44" t="str">
        <f>IF('Seznam ekip'!$K$14=" / ",CONCATENATE("Ekipa št. ",'Seznam ekip'!$A$14),'Seznam ekip'!$K$14)</f>
        <v>Gorenc Valenta  / Veselko PORTŽ</v>
      </c>
      <c r="E5" s="44" t="s">
        <v>0</v>
      </c>
      <c r="F5" s="44" t="str">
        <f>IF('Seznam ekip'!$K$13=" / ",CONCATENATE("Ekipa št. ",'Seznam ekip'!$A$13),'Seznam ekip'!$K$13)</f>
        <v>Ferdin / Potočnik LUBNIK</v>
      </c>
      <c r="G5" s="70">
        <v>0</v>
      </c>
      <c r="H5" s="45" t="s">
        <v>33</v>
      </c>
      <c r="I5" s="75">
        <v>2</v>
      </c>
      <c r="J5" s="46">
        <f t="shared" si="0"/>
        <v>-0.41666666666666669</v>
      </c>
      <c r="K5" s="80">
        <v>11</v>
      </c>
      <c r="L5" s="47" t="s">
        <v>33</v>
      </c>
      <c r="M5" s="85">
        <v>15</v>
      </c>
      <c r="N5" s="80">
        <v>5</v>
      </c>
      <c r="O5" s="47" t="s">
        <v>33</v>
      </c>
      <c r="P5" s="85">
        <v>15</v>
      </c>
      <c r="Q5" s="80"/>
      <c r="R5" s="47" t="s">
        <v>33</v>
      </c>
      <c r="S5" s="92"/>
      <c r="T5" s="90">
        <v>0.41666666666666669</v>
      </c>
      <c r="U5" s="91"/>
      <c r="V5" s="27" t="s">
        <v>115</v>
      </c>
    </row>
    <row r="6" spans="1:22" x14ac:dyDescent="0.25">
      <c r="A6" s="43">
        <f t="shared" si="1"/>
        <v>3</v>
      </c>
      <c r="B6" s="44" t="s">
        <v>4</v>
      </c>
      <c r="C6" s="65">
        <v>1</v>
      </c>
      <c r="D6" s="44" t="str">
        <f>IF('Seznam ekip'!$K$10=" / ",CONCATENATE("Ekipa št. ",'Seznam ekip'!$A$10),'Seznam ekip'!$K$10)</f>
        <v>Pintar / Hrovat ŠD LOKA</v>
      </c>
      <c r="E6" s="44" t="s">
        <v>0</v>
      </c>
      <c r="F6" s="44" t="str">
        <f>IF('Seznam ekip'!$K$17=" / ",CONCATENATE("Ekipa št. ",'Seznam ekip'!$A$17),'Seznam ekip'!$K$17)</f>
        <v>Torej / Halilovič PORTŽ</v>
      </c>
      <c r="G6" s="70">
        <v>2</v>
      </c>
      <c r="H6" s="45" t="s">
        <v>33</v>
      </c>
      <c r="I6" s="75">
        <v>0</v>
      </c>
      <c r="J6" s="46">
        <f t="shared" si="0"/>
        <v>-0.41666666666666669</v>
      </c>
      <c r="K6" s="80">
        <v>15</v>
      </c>
      <c r="L6" s="47" t="s">
        <v>33</v>
      </c>
      <c r="M6" s="85">
        <v>11</v>
      </c>
      <c r="N6" s="80">
        <v>15</v>
      </c>
      <c r="O6" s="47" t="s">
        <v>33</v>
      </c>
      <c r="P6" s="85">
        <v>8</v>
      </c>
      <c r="Q6" s="80"/>
      <c r="R6" s="47" t="s">
        <v>33</v>
      </c>
      <c r="S6" s="92"/>
      <c r="T6" s="90">
        <v>0.41666666666666669</v>
      </c>
      <c r="U6" s="91"/>
      <c r="V6" s="27" t="s">
        <v>115</v>
      </c>
    </row>
    <row r="7" spans="1:22" x14ac:dyDescent="0.25">
      <c r="A7" s="43">
        <f t="shared" si="1"/>
        <v>4</v>
      </c>
      <c r="B7" s="44" t="s">
        <v>4</v>
      </c>
      <c r="C7" s="65">
        <v>1</v>
      </c>
      <c r="D7" s="44" t="str">
        <f>IF('Seznam ekip'!$K$18=" / ",CONCATENATE("Ekipa št. ",'Seznam ekip'!$A$18),'Seznam ekip'!$K$18)</f>
        <v>Šketa Rozman / Rozman CESTNIK</v>
      </c>
      <c r="E7" s="44" t="s">
        <v>0</v>
      </c>
      <c r="F7" s="44" t="str">
        <f>IF('Seznam ekip'!$K$9=" / ",CONCATENATE("Ekipa št. ",'Seznam ekip'!$A$9),'Seznam ekip'!$K$9)</f>
        <v>Bakan / Strle GROSUPLJE</v>
      </c>
      <c r="G7" s="70">
        <v>2</v>
      </c>
      <c r="H7" s="45" t="s">
        <v>33</v>
      </c>
      <c r="I7" s="75">
        <v>1</v>
      </c>
      <c r="J7" s="46">
        <f t="shared" si="0"/>
        <v>-0.4375</v>
      </c>
      <c r="K7" s="80">
        <v>13</v>
      </c>
      <c r="L7" s="47" t="s">
        <v>33</v>
      </c>
      <c r="M7" s="85">
        <v>15</v>
      </c>
      <c r="N7" s="80">
        <v>15</v>
      </c>
      <c r="O7" s="47" t="s">
        <v>33</v>
      </c>
      <c r="P7" s="85">
        <v>13</v>
      </c>
      <c r="Q7" s="80">
        <v>15</v>
      </c>
      <c r="R7" s="47" t="s">
        <v>33</v>
      </c>
      <c r="S7" s="92">
        <v>11</v>
      </c>
      <c r="T7" s="90">
        <v>0.4375</v>
      </c>
      <c r="U7" s="91"/>
      <c r="V7" s="27" t="s">
        <v>115</v>
      </c>
    </row>
    <row r="8" spans="1:22" x14ac:dyDescent="0.25">
      <c r="A8" s="43">
        <f t="shared" si="1"/>
        <v>5</v>
      </c>
      <c r="B8" s="44" t="s">
        <v>4</v>
      </c>
      <c r="C8" s="65">
        <v>2</v>
      </c>
      <c r="D8" s="44" t="str">
        <f>IF('Seznam ekip'!$K$8=" / ",CONCATENATE("Ekipa št. ",'Seznam ekip'!$A$8),'Seznam ekip'!$K$8)</f>
        <v>Pšaker / Pražnikar CESTNIK</v>
      </c>
      <c r="E8" s="44" t="s">
        <v>0</v>
      </c>
      <c r="F8" s="44" t="str">
        <f>IF('Seznam ekip'!$K$19=" / ",CONCATENATE("Ekipa št. ",'Seznam ekip'!$A$19),'Seznam ekip'!$K$19)</f>
        <v>Šoštarič / Rošer CESTNIK</v>
      </c>
      <c r="G8" s="70">
        <v>2</v>
      </c>
      <c r="H8" s="45" t="s">
        <v>33</v>
      </c>
      <c r="I8" s="75">
        <v>0</v>
      </c>
      <c r="J8" s="46">
        <f t="shared" si="0"/>
        <v>-0.4375</v>
      </c>
      <c r="K8" s="80">
        <v>15</v>
      </c>
      <c r="L8" s="47" t="s">
        <v>33</v>
      </c>
      <c r="M8" s="85">
        <v>11</v>
      </c>
      <c r="N8" s="80">
        <v>15</v>
      </c>
      <c r="O8" s="47" t="s">
        <v>33</v>
      </c>
      <c r="P8" s="85">
        <v>12</v>
      </c>
      <c r="Q8" s="80"/>
      <c r="R8" s="47" t="s">
        <v>33</v>
      </c>
      <c r="S8" s="92"/>
      <c r="T8" s="90">
        <v>0.4375</v>
      </c>
      <c r="U8" s="91"/>
      <c r="V8" s="27" t="s">
        <v>115</v>
      </c>
    </row>
    <row r="9" spans="1:22" x14ac:dyDescent="0.25">
      <c r="A9" s="43">
        <f t="shared" si="1"/>
        <v>6</v>
      </c>
      <c r="B9" s="44" t="s">
        <v>4</v>
      </c>
      <c r="C9" s="65">
        <v>3</v>
      </c>
      <c r="D9" s="44" t="str">
        <f>IF('Seznam ekip'!$K$16=" / ",CONCATENATE("Ekipa št. ",'Seznam ekip'!$A$16),'Seznam ekip'!$K$16)</f>
        <v>Pavlič  / Danyliuk PORTŽ</v>
      </c>
      <c r="E9" s="44" t="s">
        <v>0</v>
      </c>
      <c r="F9" s="44" t="str">
        <f>IF('Seznam ekip'!$K$11=" / ",CONCATENATE("Ekipa št. ",'Seznam ekip'!$A$11),'Seznam ekip'!$K$11)</f>
        <v>Kos / Topolovec GROSUPLJE</v>
      </c>
      <c r="G9" s="70">
        <v>0</v>
      </c>
      <c r="H9" s="45" t="s">
        <v>33</v>
      </c>
      <c r="I9" s="75">
        <v>2</v>
      </c>
      <c r="J9" s="46">
        <f t="shared" si="0"/>
        <v>-0.4375</v>
      </c>
      <c r="K9" s="80">
        <v>12</v>
      </c>
      <c r="L9" s="47" t="s">
        <v>33</v>
      </c>
      <c r="M9" s="85">
        <v>15</v>
      </c>
      <c r="N9" s="80">
        <v>8</v>
      </c>
      <c r="O9" s="47" t="s">
        <v>33</v>
      </c>
      <c r="P9" s="85">
        <v>15</v>
      </c>
      <c r="Q9" s="80"/>
      <c r="R9" s="47" t="s">
        <v>33</v>
      </c>
      <c r="S9" s="92"/>
      <c r="T9" s="90">
        <v>0.4375</v>
      </c>
      <c r="U9" s="91"/>
      <c r="V9" s="27" t="s">
        <v>115</v>
      </c>
    </row>
    <row r="10" spans="1:22" x14ac:dyDescent="0.25">
      <c r="A10" s="43">
        <f t="shared" si="1"/>
        <v>7</v>
      </c>
      <c r="B10" s="44" t="s">
        <v>4</v>
      </c>
      <c r="C10" s="65">
        <v>1</v>
      </c>
      <c r="D10" s="44" t="str">
        <f>IF('Seznam ekip'!$K$12=" / ",CONCATENATE("Ekipa št. ",'Seznam ekip'!$A$12),'Seznam ekip'!$K$12)</f>
        <v>Pečovnik / Ferk BRASLOVČE</v>
      </c>
      <c r="E10" s="44" t="s">
        <v>0</v>
      </c>
      <c r="F10" s="44" t="str">
        <f>IF('Seznam ekip'!$K$15=" / ",CONCATENATE("Ekipa št. ",'Seznam ekip'!$A$15),'Seznam ekip'!$K$15)</f>
        <v>Pirih / Činku LUBNIK</v>
      </c>
      <c r="G10" s="70">
        <v>2</v>
      </c>
      <c r="H10" s="45" t="s">
        <v>33</v>
      </c>
      <c r="I10" s="75">
        <v>0</v>
      </c>
      <c r="J10" s="46">
        <f t="shared" si="0"/>
        <v>-0.45833333333333331</v>
      </c>
      <c r="K10" s="80">
        <v>15</v>
      </c>
      <c r="L10" s="47" t="s">
        <v>33</v>
      </c>
      <c r="M10" s="85">
        <v>11</v>
      </c>
      <c r="N10" s="80">
        <v>15</v>
      </c>
      <c r="O10" s="47" t="s">
        <v>33</v>
      </c>
      <c r="P10" s="85">
        <v>13</v>
      </c>
      <c r="Q10" s="80"/>
      <c r="R10" s="47" t="s">
        <v>33</v>
      </c>
      <c r="S10" s="92"/>
      <c r="T10" s="90">
        <v>0.45833333333333331</v>
      </c>
      <c r="U10" s="91"/>
      <c r="V10" s="27" t="s">
        <v>115</v>
      </c>
    </row>
    <row r="11" spans="1:22" ht="16" thickBot="1" x14ac:dyDescent="0.3">
      <c r="A11" s="48">
        <f t="shared" si="1"/>
        <v>8</v>
      </c>
      <c r="B11" s="49" t="s">
        <v>4</v>
      </c>
      <c r="C11" s="66">
        <v>2</v>
      </c>
      <c r="D11" s="49" t="str">
        <f>IF('Seznam ekip'!$K$20=" / ",CONCATENATE("Ekipa št. ",'Seznam ekip'!$A$20),'Seznam ekip'!$K$20)</f>
        <v>Kolar / Lavrič VITAL</v>
      </c>
      <c r="E11" s="49" t="s">
        <v>0</v>
      </c>
      <c r="F11" s="49" t="str">
        <f>IF('Seznam ekip'!$K$7=" / ",CONCATENATE("Ekipa št. ",'Seznam ekip'!$A$7),'Seznam ekip'!$K$7)</f>
        <v>Prater / Krejan slovenj gradec</v>
      </c>
      <c r="G11" s="71">
        <v>2</v>
      </c>
      <c r="H11" s="50" t="s">
        <v>33</v>
      </c>
      <c r="I11" s="76">
        <v>0</v>
      </c>
      <c r="J11" s="51">
        <f t="shared" si="0"/>
        <v>-0.45833333333333331</v>
      </c>
      <c r="K11" s="81">
        <v>15</v>
      </c>
      <c r="L11" s="52" t="s">
        <v>33</v>
      </c>
      <c r="M11" s="86">
        <v>9</v>
      </c>
      <c r="N11" s="81">
        <v>15</v>
      </c>
      <c r="O11" s="52" t="s">
        <v>33</v>
      </c>
      <c r="P11" s="86">
        <v>8</v>
      </c>
      <c r="Q11" s="81"/>
      <c r="R11" s="52" t="s">
        <v>33</v>
      </c>
      <c r="S11" s="93"/>
      <c r="T11" s="94">
        <v>0.45833333333333331</v>
      </c>
      <c r="U11" s="95"/>
      <c r="V11" s="27" t="s">
        <v>115</v>
      </c>
    </row>
    <row r="12" spans="1:22" x14ac:dyDescent="0.25">
      <c r="A12" s="38">
        <f t="shared" si="1"/>
        <v>9</v>
      </c>
      <c r="B12" s="39" t="s">
        <v>5</v>
      </c>
      <c r="C12" s="64">
        <v>3</v>
      </c>
      <c r="D12" s="39" t="str">
        <f>IF($G$4=$I$4,CONCATENATE("Zmagovalec tekme #",$A$4),IF($G$4&gt;$I$4,D4,$F$4))</f>
        <v>Celarc  / Knep LUDOS</v>
      </c>
      <c r="E12" s="39" t="s">
        <v>0</v>
      </c>
      <c r="F12" s="39" t="str">
        <f>IF($G$5=$I$5,CONCATENATE("Zmagovalec tekme #",$A$5),IF($G$5&gt;$I$5,D5,$F$5))</f>
        <v>Ferdin / Potočnik LUBNIK</v>
      </c>
      <c r="G12" s="69">
        <v>1</v>
      </c>
      <c r="H12" s="40" t="s">
        <v>33</v>
      </c>
      <c r="I12" s="74">
        <v>2</v>
      </c>
      <c r="J12" s="41">
        <f t="shared" si="0"/>
        <v>-0.45833333333333331</v>
      </c>
      <c r="K12" s="79">
        <v>10</v>
      </c>
      <c r="L12" s="42" t="s">
        <v>33</v>
      </c>
      <c r="M12" s="84">
        <v>15</v>
      </c>
      <c r="N12" s="79">
        <v>15</v>
      </c>
      <c r="O12" s="42" t="s">
        <v>33</v>
      </c>
      <c r="P12" s="84">
        <v>12</v>
      </c>
      <c r="Q12" s="79">
        <v>10</v>
      </c>
      <c r="R12" s="42" t="s">
        <v>33</v>
      </c>
      <c r="S12" s="89">
        <v>15</v>
      </c>
      <c r="T12" s="96">
        <v>0.45833333333333331</v>
      </c>
      <c r="U12" s="97"/>
      <c r="V12" s="27" t="s">
        <v>115</v>
      </c>
    </row>
    <row r="13" spans="1:22" x14ac:dyDescent="0.25">
      <c r="A13" s="43">
        <f t="shared" si="1"/>
        <v>10</v>
      </c>
      <c r="B13" s="44" t="s">
        <v>5</v>
      </c>
      <c r="C13" s="65">
        <v>1</v>
      </c>
      <c r="D13" s="44" t="str">
        <f>IF($G$6=$I$6,CONCATENATE("Zmagovalec tekme #",$A$6),IF($G$6&gt;$I$6,D6,$F$6))</f>
        <v>Pintar / Hrovat ŠD LOKA</v>
      </c>
      <c r="E13" s="44" t="s">
        <v>0</v>
      </c>
      <c r="F13" s="44" t="str">
        <f>IF($G$7=$I$7,CONCATENATE("Zmagovalec tekme #",$A$7),IF($G$7&gt;$I$7,$D$7,$F$7))</f>
        <v>Šketa Rozman / Rozman CESTNIK</v>
      </c>
      <c r="G13" s="70">
        <v>2</v>
      </c>
      <c r="H13" s="45" t="s">
        <v>33</v>
      </c>
      <c r="I13" s="75">
        <v>0</v>
      </c>
      <c r="J13" s="46">
        <f t="shared" si="0"/>
        <v>-0.47916666666666669</v>
      </c>
      <c r="K13" s="80">
        <v>15</v>
      </c>
      <c r="L13" s="47" t="s">
        <v>33</v>
      </c>
      <c r="M13" s="85">
        <v>10</v>
      </c>
      <c r="N13" s="80">
        <v>15</v>
      </c>
      <c r="O13" s="47" t="s">
        <v>33</v>
      </c>
      <c r="P13" s="85">
        <v>9</v>
      </c>
      <c r="Q13" s="80"/>
      <c r="R13" s="47" t="s">
        <v>33</v>
      </c>
      <c r="S13" s="92"/>
      <c r="T13" s="90">
        <v>0.47916666666666669</v>
      </c>
      <c r="U13" s="91"/>
      <c r="V13" s="27" t="s">
        <v>115</v>
      </c>
    </row>
    <row r="14" spans="1:22" x14ac:dyDescent="0.25">
      <c r="A14" s="43">
        <f t="shared" si="1"/>
        <v>11</v>
      </c>
      <c r="B14" s="44" t="s">
        <v>5</v>
      </c>
      <c r="C14" s="65">
        <v>2</v>
      </c>
      <c r="D14" s="44" t="str">
        <f>IF($G$8=$I$8,CONCATENATE("Zmagovalec tekme #",$A$8),IF($G$8&gt;$I$8,D8,$F$8))</f>
        <v>Pšaker / Pražnikar CESTNIK</v>
      </c>
      <c r="E14" s="44" t="s">
        <v>0</v>
      </c>
      <c r="F14" s="44" t="str">
        <f>IF($G$9=$I$9,CONCATENATE("Zmagovalec tekme #",$A$9),IF($G$9&gt;$I$9,D9,$F$9))</f>
        <v>Kos / Topolovec GROSUPLJE</v>
      </c>
      <c r="G14" s="70">
        <v>0</v>
      </c>
      <c r="H14" s="45" t="s">
        <v>33</v>
      </c>
      <c r="I14" s="75">
        <v>2</v>
      </c>
      <c r="J14" s="46">
        <f t="shared" si="0"/>
        <v>-0.47916666666666669</v>
      </c>
      <c r="K14" s="80">
        <v>10</v>
      </c>
      <c r="L14" s="47" t="s">
        <v>33</v>
      </c>
      <c r="M14" s="85">
        <v>15</v>
      </c>
      <c r="N14" s="80">
        <v>14</v>
      </c>
      <c r="O14" s="47" t="s">
        <v>33</v>
      </c>
      <c r="P14" s="85">
        <v>16</v>
      </c>
      <c r="Q14" s="80"/>
      <c r="R14" s="47" t="s">
        <v>33</v>
      </c>
      <c r="S14" s="92"/>
      <c r="T14" s="90">
        <v>0.47916666666666669</v>
      </c>
      <c r="U14" s="91"/>
      <c r="V14" s="27" t="s">
        <v>115</v>
      </c>
    </row>
    <row r="15" spans="1:22" ht="16" thickBot="1" x14ac:dyDescent="0.3">
      <c r="A15" s="48">
        <f t="shared" si="1"/>
        <v>12</v>
      </c>
      <c r="B15" s="49" t="s">
        <v>5</v>
      </c>
      <c r="C15" s="66">
        <v>2</v>
      </c>
      <c r="D15" s="49" t="str">
        <f>IF($G$10=$I$10,CONCATENATE("Zmagovalec tekme #",$A$10),IF($G$10&gt;$I$10,D10,$F$10))</f>
        <v>Pečovnik / Ferk BRASLOVČE</v>
      </c>
      <c r="E15" s="49" t="s">
        <v>0</v>
      </c>
      <c r="F15" s="49" t="str">
        <f>IF($G$11=$I$11,CONCATENATE("Zmagovalec tekme #",$A$11),IF($G$11&gt;$I$11,D11,$F$11))</f>
        <v>Kolar / Lavrič VITAL</v>
      </c>
      <c r="G15" s="71">
        <v>1</v>
      </c>
      <c r="H15" s="50" t="s">
        <v>33</v>
      </c>
      <c r="I15" s="76">
        <v>2</v>
      </c>
      <c r="J15" s="51">
        <f t="shared" si="0"/>
        <v>-0.47916666666666669</v>
      </c>
      <c r="K15" s="81">
        <v>10</v>
      </c>
      <c r="L15" s="52" t="s">
        <v>33</v>
      </c>
      <c r="M15" s="86">
        <v>15</v>
      </c>
      <c r="N15" s="81">
        <v>15</v>
      </c>
      <c r="O15" s="52" t="s">
        <v>33</v>
      </c>
      <c r="P15" s="86">
        <v>10</v>
      </c>
      <c r="Q15" s="81">
        <v>11</v>
      </c>
      <c r="R15" s="52" t="s">
        <v>33</v>
      </c>
      <c r="S15" s="93">
        <v>15</v>
      </c>
      <c r="T15" s="90">
        <v>0.47916666666666669</v>
      </c>
      <c r="U15" s="95"/>
      <c r="V15" s="27" t="s">
        <v>115</v>
      </c>
    </row>
    <row r="16" spans="1:22" x14ac:dyDescent="0.25">
      <c r="A16" s="38">
        <f t="shared" si="1"/>
        <v>13</v>
      </c>
      <c r="B16" s="39">
        <v>13</v>
      </c>
      <c r="C16" s="64">
        <v>1</v>
      </c>
      <c r="D16" s="39" t="str">
        <f>IF($G$11=$I$11,CONCATENATE("Poraženec tekme #",$A$11),IF($G$11&lt;$I$11,D11,$F$11))</f>
        <v>Prater / Krejan slovenj gradec</v>
      </c>
      <c r="E16" s="39" t="s">
        <v>0</v>
      </c>
      <c r="F16" s="39" t="str">
        <f>IF($G$10=$I$10,CONCATENATE("Poraženec tekme #",$A$10),IF($G$10&lt;$I$10,D10,$F$10))</f>
        <v>Pirih / Činku LUBNIK</v>
      </c>
      <c r="G16" s="69">
        <v>1</v>
      </c>
      <c r="H16" s="40" t="s">
        <v>33</v>
      </c>
      <c r="I16" s="74">
        <v>2</v>
      </c>
      <c r="J16" s="41">
        <f t="shared" si="0"/>
        <v>-0.5</v>
      </c>
      <c r="K16" s="79">
        <v>10</v>
      </c>
      <c r="L16" s="42" t="s">
        <v>33</v>
      </c>
      <c r="M16" s="84">
        <v>15</v>
      </c>
      <c r="N16" s="79">
        <v>15</v>
      </c>
      <c r="O16" s="42" t="s">
        <v>33</v>
      </c>
      <c r="P16" s="84">
        <v>10</v>
      </c>
      <c r="Q16" s="79">
        <v>12</v>
      </c>
      <c r="R16" s="42" t="s">
        <v>33</v>
      </c>
      <c r="S16" s="89">
        <v>15</v>
      </c>
      <c r="T16" s="96">
        <v>0.5</v>
      </c>
      <c r="U16" s="97"/>
      <c r="V16" s="27" t="s">
        <v>115</v>
      </c>
    </row>
    <row r="17" spans="1:22" x14ac:dyDescent="0.25">
      <c r="A17" s="43">
        <f t="shared" si="1"/>
        <v>14</v>
      </c>
      <c r="B17" s="44">
        <v>13</v>
      </c>
      <c r="C17" s="65">
        <v>3</v>
      </c>
      <c r="D17" s="44" t="str">
        <f>IF($G$9=$I$9,CONCATENATE("Poraženec tekme #",$A$9),IF($G$9&lt;$I$9,D9,$F$9))</f>
        <v>Pavlič  / Danyliuk PORTŽ</v>
      </c>
      <c r="E17" s="44" t="s">
        <v>0</v>
      </c>
      <c r="F17" s="44" t="str">
        <f>IF($G$8=$I$8,CONCATENATE("Poraženec tekme #",$A$8),IF($G$8&lt;$I$8,D8,$F$8))</f>
        <v>Šoštarič / Rošer CESTNIK</v>
      </c>
      <c r="G17" s="70">
        <v>0</v>
      </c>
      <c r="H17" s="45" t="s">
        <v>33</v>
      </c>
      <c r="I17" s="75">
        <v>2</v>
      </c>
      <c r="J17" s="46">
        <f t="shared" si="0"/>
        <v>-0.5</v>
      </c>
      <c r="K17" s="80">
        <v>9</v>
      </c>
      <c r="L17" s="47" t="s">
        <v>33</v>
      </c>
      <c r="M17" s="85">
        <v>15</v>
      </c>
      <c r="N17" s="80">
        <v>2</v>
      </c>
      <c r="O17" s="47" t="s">
        <v>33</v>
      </c>
      <c r="P17" s="85">
        <v>15</v>
      </c>
      <c r="Q17" s="80"/>
      <c r="R17" s="47" t="s">
        <v>33</v>
      </c>
      <c r="S17" s="92"/>
      <c r="T17" s="96">
        <v>0.5</v>
      </c>
      <c r="U17" s="91"/>
      <c r="V17" s="27" t="s">
        <v>115</v>
      </c>
    </row>
    <row r="18" spans="1:22" x14ac:dyDescent="0.25">
      <c r="A18" s="43">
        <f t="shared" si="1"/>
        <v>15</v>
      </c>
      <c r="B18" s="44">
        <v>13</v>
      </c>
      <c r="C18" s="65">
        <v>3</v>
      </c>
      <c r="D18" s="44" t="str">
        <f>IF($G$7=$I$7,CONCATENATE("Poraženec tekme #",$A$7),IF($G$7&lt;$I$7,D7,$F$7))</f>
        <v>Bakan / Strle GROSUPLJE</v>
      </c>
      <c r="E18" s="44" t="s">
        <v>0</v>
      </c>
      <c r="F18" s="44" t="str">
        <f>IF($G$6=$I$6,CONCATENATE("Poraženec tekme #",$A$6),IF($G$6&lt;$I$6,D6,$F$6))</f>
        <v>Torej / Halilovič PORTŽ</v>
      </c>
      <c r="G18" s="70">
        <v>2</v>
      </c>
      <c r="H18" s="45" t="s">
        <v>33</v>
      </c>
      <c r="I18" s="75">
        <v>0</v>
      </c>
      <c r="J18" s="46">
        <f t="shared" si="0"/>
        <v>-0.5</v>
      </c>
      <c r="K18" s="80">
        <v>15</v>
      </c>
      <c r="L18" s="47" t="s">
        <v>33</v>
      </c>
      <c r="M18" s="85">
        <v>10</v>
      </c>
      <c r="N18" s="80">
        <v>15</v>
      </c>
      <c r="O18" s="47" t="s">
        <v>33</v>
      </c>
      <c r="P18" s="85">
        <v>11</v>
      </c>
      <c r="Q18" s="80"/>
      <c r="R18" s="47" t="s">
        <v>33</v>
      </c>
      <c r="S18" s="92"/>
      <c r="T18" s="96">
        <v>0.5</v>
      </c>
      <c r="U18" s="91"/>
      <c r="V18" s="27" t="s">
        <v>115</v>
      </c>
    </row>
    <row r="19" spans="1:22" ht="16" thickBot="1" x14ac:dyDescent="0.3">
      <c r="A19" s="48">
        <f t="shared" si="1"/>
        <v>16</v>
      </c>
      <c r="B19" s="49">
        <v>13</v>
      </c>
      <c r="C19" s="66">
        <v>2</v>
      </c>
      <c r="D19" s="49" t="str">
        <f>IF($G$5=$I$5,CONCATENATE("Poraženec tekme #",$A$5),IF($G$5&lt;$I$5,D5,$F$5))</f>
        <v>Gorenc Valenta  / Veselko PORTŽ</v>
      </c>
      <c r="E19" s="49" t="s">
        <v>0</v>
      </c>
      <c r="F19" s="49" t="str">
        <f>IF($G$4=$I$4,CONCATENATE("Poraženec tekme #",$A$4),IF($G$4&lt;$I$4,D4,$F$4))</f>
        <v>Reflak / Kim Kilar VITAL</v>
      </c>
      <c r="G19" s="71">
        <v>2</v>
      </c>
      <c r="H19" s="50" t="s">
        <v>33</v>
      </c>
      <c r="I19" s="76">
        <v>1</v>
      </c>
      <c r="J19" s="51" t="e">
        <f t="shared" si="0"/>
        <v>#VALUE!</v>
      </c>
      <c r="K19" s="81">
        <v>13</v>
      </c>
      <c r="L19" s="52" t="s">
        <v>33</v>
      </c>
      <c r="M19" s="86">
        <v>15</v>
      </c>
      <c r="N19" s="81">
        <v>16</v>
      </c>
      <c r="O19" s="52" t="s">
        <v>33</v>
      </c>
      <c r="P19" s="86">
        <v>14</v>
      </c>
      <c r="Q19" s="81">
        <v>15</v>
      </c>
      <c r="R19" s="52" t="s">
        <v>33</v>
      </c>
      <c r="S19" s="93">
        <v>11</v>
      </c>
      <c r="T19" s="94" t="s">
        <v>118</v>
      </c>
      <c r="U19" s="95"/>
      <c r="V19" s="27" t="s">
        <v>115</v>
      </c>
    </row>
    <row r="20" spans="1:22" ht="16" thickBot="1" x14ac:dyDescent="0.3">
      <c r="A20" s="38">
        <f t="shared" si="1"/>
        <v>17</v>
      </c>
      <c r="B20" s="39">
        <v>9</v>
      </c>
      <c r="C20" s="64">
        <v>2</v>
      </c>
      <c r="D20" s="39" t="str">
        <f>IF($G$16=$I$16,CONCATENATE("Zmagovalec tekme #",$A$16),IF($G$16&gt;$I$16,$D$16,$F$16))</f>
        <v>Pirih / Činku LUBNIK</v>
      </c>
      <c r="E20" s="39" t="s">
        <v>0</v>
      </c>
      <c r="F20" s="39" t="str">
        <f>IF($G$13=$I$13,CONCATENATE("Poraženec tekme #",$A$13),IF($G$13&lt;$I$13,D13,$F$13))</f>
        <v>Šketa Rozman / Rozman CESTNIK</v>
      </c>
      <c r="G20" s="69">
        <v>2</v>
      </c>
      <c r="H20" s="40" t="s">
        <v>33</v>
      </c>
      <c r="I20" s="74">
        <v>1</v>
      </c>
      <c r="J20" s="41">
        <f t="shared" si="0"/>
        <v>-0.52083333333333337</v>
      </c>
      <c r="K20" s="79">
        <v>15</v>
      </c>
      <c r="L20" s="42" t="s">
        <v>33</v>
      </c>
      <c r="M20" s="84">
        <v>7</v>
      </c>
      <c r="N20" s="79">
        <v>13</v>
      </c>
      <c r="O20" s="42" t="s">
        <v>33</v>
      </c>
      <c r="P20" s="84">
        <v>15</v>
      </c>
      <c r="Q20" s="79">
        <v>15</v>
      </c>
      <c r="R20" s="42" t="s">
        <v>33</v>
      </c>
      <c r="S20" s="89">
        <v>5</v>
      </c>
      <c r="T20" s="94">
        <v>0.52083333333333337</v>
      </c>
      <c r="U20" s="97"/>
      <c r="V20" s="27" t="s">
        <v>115</v>
      </c>
    </row>
    <row r="21" spans="1:22" ht="16" thickBot="1" x14ac:dyDescent="0.3">
      <c r="A21" s="43">
        <f t="shared" si="1"/>
        <v>18</v>
      </c>
      <c r="B21" s="44">
        <v>9</v>
      </c>
      <c r="C21" s="65">
        <v>1</v>
      </c>
      <c r="D21" s="44" t="str">
        <f>IF($G$17=$I$17,CONCATENATE("Zmagovalec tekme #",$A$17),IF($G$17&gt;$I$17,$D$17,$F$17))</f>
        <v>Šoštarič / Rošer CESTNIK</v>
      </c>
      <c r="E21" s="44" t="s">
        <v>0</v>
      </c>
      <c r="F21" s="44" t="str">
        <f>IF($G$12=$I$12,CONCATENATE("Poraženec tekme #",$A$12),IF($G$12&lt;$I$12,D12,$F$12))</f>
        <v>Celarc  / Knep LUDOS</v>
      </c>
      <c r="G21" s="70">
        <v>0</v>
      </c>
      <c r="H21" s="45" t="s">
        <v>33</v>
      </c>
      <c r="I21" s="75">
        <v>2</v>
      </c>
      <c r="J21" s="46">
        <f t="shared" si="0"/>
        <v>-0.52083333333333337</v>
      </c>
      <c r="K21" s="80">
        <v>4</v>
      </c>
      <c r="L21" s="47" t="s">
        <v>33</v>
      </c>
      <c r="M21" s="85">
        <v>15</v>
      </c>
      <c r="N21" s="80">
        <v>11</v>
      </c>
      <c r="O21" s="47" t="s">
        <v>33</v>
      </c>
      <c r="P21" s="85">
        <v>15</v>
      </c>
      <c r="Q21" s="80"/>
      <c r="R21" s="47" t="s">
        <v>33</v>
      </c>
      <c r="S21" s="92"/>
      <c r="T21" s="94">
        <v>0.52083333333333337</v>
      </c>
      <c r="U21" s="91"/>
      <c r="V21" s="27" t="s">
        <v>115</v>
      </c>
    </row>
    <row r="22" spans="1:22" x14ac:dyDescent="0.25">
      <c r="A22" s="43">
        <f t="shared" si="1"/>
        <v>19</v>
      </c>
      <c r="B22" s="44">
        <v>9</v>
      </c>
      <c r="C22" s="65">
        <v>1</v>
      </c>
      <c r="D22" s="44" t="str">
        <f>IF($G$18=$I$18,CONCATENATE("Zmagovalec tekme #",$A$18),IF($G$18&gt;$I$18,$D$18,$F$18))</f>
        <v>Bakan / Strle GROSUPLJE</v>
      </c>
      <c r="E22" s="44" t="s">
        <v>0</v>
      </c>
      <c r="F22" s="44" t="str">
        <f>IF($G$15=$I$15,CONCATENATE("Poraženec tekme #",$A$15),IF($G$15&lt;$I$15,D15,$F$15))</f>
        <v>Pečovnik / Ferk BRASLOVČE</v>
      </c>
      <c r="G22" s="70">
        <v>2</v>
      </c>
      <c r="H22" s="45" t="s">
        <v>33</v>
      </c>
      <c r="I22" s="75">
        <v>0</v>
      </c>
      <c r="J22" s="46">
        <f t="shared" si="0"/>
        <v>-0.54166666666666663</v>
      </c>
      <c r="K22" s="80">
        <v>15</v>
      </c>
      <c r="L22" s="47" t="s">
        <v>33</v>
      </c>
      <c r="M22" s="85">
        <v>12</v>
      </c>
      <c r="N22" s="80">
        <v>15</v>
      </c>
      <c r="O22" s="47" t="s">
        <v>33</v>
      </c>
      <c r="P22" s="85">
        <v>7</v>
      </c>
      <c r="Q22" s="80"/>
      <c r="R22" s="47" t="s">
        <v>33</v>
      </c>
      <c r="S22" s="92"/>
      <c r="T22" s="90">
        <v>0.54166666666666663</v>
      </c>
      <c r="U22" s="91"/>
      <c r="V22" s="27" t="s">
        <v>115</v>
      </c>
    </row>
    <row r="23" spans="1:22" ht="16" thickBot="1" x14ac:dyDescent="0.3">
      <c r="A23" s="48">
        <f t="shared" si="1"/>
        <v>20</v>
      </c>
      <c r="B23" s="49">
        <v>9</v>
      </c>
      <c r="C23" s="66">
        <v>3</v>
      </c>
      <c r="D23" s="49" t="str">
        <f>IF($G$19=$I$19,CONCATENATE("Zmagovalec tekme #",$A$19),IF($G$19&gt;$I$19,$D$19,$F$19))</f>
        <v>Gorenc Valenta  / Veselko PORTŽ</v>
      </c>
      <c r="E23" s="49" t="s">
        <v>0</v>
      </c>
      <c r="F23" s="49" t="str">
        <f>IF($G$14=$I$14,CONCATENATE("Poraženec tekme #",$A$14),IF($G$14&lt;$I$14,D14,$F$14))</f>
        <v>Pšaker / Pražnikar CESTNIK</v>
      </c>
      <c r="G23" s="71">
        <v>1</v>
      </c>
      <c r="H23" s="50" t="s">
        <v>33</v>
      </c>
      <c r="I23" s="76">
        <v>2</v>
      </c>
      <c r="J23" s="51">
        <f t="shared" si="0"/>
        <v>-0.54166666666666663</v>
      </c>
      <c r="K23" s="81">
        <v>15</v>
      </c>
      <c r="L23" s="52" t="s">
        <v>33</v>
      </c>
      <c r="M23" s="86">
        <v>12</v>
      </c>
      <c r="N23" s="81">
        <v>12</v>
      </c>
      <c r="O23" s="52" t="s">
        <v>33</v>
      </c>
      <c r="P23" s="86">
        <v>15</v>
      </c>
      <c r="Q23" s="81">
        <v>9</v>
      </c>
      <c r="R23" s="52" t="s">
        <v>33</v>
      </c>
      <c r="S23" s="93">
        <v>15</v>
      </c>
      <c r="T23" s="90">
        <v>0.54166666666666663</v>
      </c>
      <c r="U23" s="95"/>
      <c r="V23" s="187" t="s">
        <v>115</v>
      </c>
    </row>
    <row r="24" spans="1:22" x14ac:dyDescent="0.25">
      <c r="A24" s="38">
        <f t="shared" si="1"/>
        <v>21</v>
      </c>
      <c r="B24" s="39" t="s">
        <v>6</v>
      </c>
      <c r="C24" s="64">
        <v>1</v>
      </c>
      <c r="D24" s="39" t="str">
        <f>IF($G$12=$I$12,CONCATENATE("Zmagovalec tekme #",$A$12),IF($G$12&gt;$I$12,$D$12,$F$12))</f>
        <v>Ferdin / Potočnik LUBNIK</v>
      </c>
      <c r="E24" s="39" t="s">
        <v>0</v>
      </c>
      <c r="F24" s="39" t="str">
        <f>IF($G$13=$I$13,CONCATENATE("Zmagovalec tekme #",$A$13),IF($G$13&gt;$I$13,$D$13,$F$13))</f>
        <v>Pintar / Hrovat ŠD LOKA</v>
      </c>
      <c r="G24" s="69">
        <v>2</v>
      </c>
      <c r="H24" s="40" t="s">
        <v>33</v>
      </c>
      <c r="I24" s="74">
        <v>1</v>
      </c>
      <c r="J24" s="41">
        <f t="shared" si="0"/>
        <v>-0.54166666666666663</v>
      </c>
      <c r="K24" s="79">
        <v>15</v>
      </c>
      <c r="L24" s="42" t="s">
        <v>33</v>
      </c>
      <c r="M24" s="84">
        <v>8</v>
      </c>
      <c r="N24" s="79">
        <v>7</v>
      </c>
      <c r="O24" s="42" t="s">
        <v>33</v>
      </c>
      <c r="P24" s="84">
        <v>15</v>
      </c>
      <c r="Q24" s="79">
        <v>15</v>
      </c>
      <c r="R24" s="42" t="s">
        <v>33</v>
      </c>
      <c r="S24" s="89">
        <v>10</v>
      </c>
      <c r="T24" s="90">
        <v>0.54166666666666663</v>
      </c>
      <c r="U24" s="97"/>
      <c r="V24" s="25" t="s">
        <v>115</v>
      </c>
    </row>
    <row r="25" spans="1:22" ht="16" thickBot="1" x14ac:dyDescent="0.3">
      <c r="A25" s="48">
        <f t="shared" si="1"/>
        <v>22</v>
      </c>
      <c r="B25" s="49" t="s">
        <v>6</v>
      </c>
      <c r="C25" s="66">
        <v>2</v>
      </c>
      <c r="D25" s="49" t="str">
        <f>IF($G$14=$I$14,CONCATENATE("Zmagovalec tekme #",$A$14),IF($G$14&gt;$I$14,$D$14,$F$14))</f>
        <v>Kos / Topolovec GROSUPLJE</v>
      </c>
      <c r="E25" s="49" t="s">
        <v>0</v>
      </c>
      <c r="F25" s="49" t="str">
        <f>IF($G$15=$I$15,CONCATENATE("Zmagovalec tekme #",$A$15),IF($G$15&gt;$I$15,$D$15,$F$15))</f>
        <v>Kolar / Lavrič VITAL</v>
      </c>
      <c r="G25" s="71">
        <v>2</v>
      </c>
      <c r="H25" s="50" t="s">
        <v>33</v>
      </c>
      <c r="I25" s="76">
        <v>0</v>
      </c>
      <c r="J25" s="51">
        <f t="shared" si="0"/>
        <v>-0.5625</v>
      </c>
      <c r="K25" s="81">
        <v>16</v>
      </c>
      <c r="L25" s="52" t="s">
        <v>33</v>
      </c>
      <c r="M25" s="86">
        <v>14</v>
      </c>
      <c r="N25" s="81">
        <v>15</v>
      </c>
      <c r="O25" s="52" t="s">
        <v>33</v>
      </c>
      <c r="P25" s="86">
        <v>8</v>
      </c>
      <c r="Q25" s="81"/>
      <c r="R25" s="52" t="s">
        <v>33</v>
      </c>
      <c r="S25" s="93"/>
      <c r="T25" s="94">
        <v>0.5625</v>
      </c>
      <c r="U25" s="95"/>
      <c r="V25" s="25" t="s">
        <v>115</v>
      </c>
    </row>
    <row r="26" spans="1:22" ht="16" thickBot="1" x14ac:dyDescent="0.3">
      <c r="A26" s="38">
        <f t="shared" si="1"/>
        <v>23</v>
      </c>
      <c r="B26" s="39">
        <v>7</v>
      </c>
      <c r="C26" s="64">
        <v>1</v>
      </c>
      <c r="D26" s="39" t="str">
        <f>IF($G$20=$I$20,CONCATENATE("Zmagovalec tekme #",$A$20),IF($G$20&gt;$I$20,$D$20,$F$20))</f>
        <v>Pirih / Činku LUBNIK</v>
      </c>
      <c r="E26" s="39" t="s">
        <v>0</v>
      </c>
      <c r="F26" s="39" t="str">
        <f>IF($G$21=$I$21,CONCATENATE("Zmagovalec tekme #",$A$21),IF($G$21&gt;$I$21,$D$21,$F$21))</f>
        <v>Celarc  / Knep LUDOS</v>
      </c>
      <c r="G26" s="69">
        <v>0</v>
      </c>
      <c r="H26" s="40" t="s">
        <v>33</v>
      </c>
      <c r="I26" s="74">
        <v>2</v>
      </c>
      <c r="J26" s="41">
        <f t="shared" si="0"/>
        <v>-0.5625</v>
      </c>
      <c r="K26" s="79">
        <v>7</v>
      </c>
      <c r="L26" s="42" t="s">
        <v>33</v>
      </c>
      <c r="M26" s="84">
        <v>15</v>
      </c>
      <c r="N26" s="79">
        <v>5</v>
      </c>
      <c r="O26" s="42" t="s">
        <v>33</v>
      </c>
      <c r="P26" s="84">
        <v>15</v>
      </c>
      <c r="Q26" s="79"/>
      <c r="R26" s="42" t="s">
        <v>33</v>
      </c>
      <c r="S26" s="89"/>
      <c r="T26" s="94">
        <v>0.5625</v>
      </c>
      <c r="U26" s="97"/>
      <c r="V26" s="25" t="s">
        <v>115</v>
      </c>
    </row>
    <row r="27" spans="1:22" ht="16" thickBot="1" x14ac:dyDescent="0.3">
      <c r="A27" s="48">
        <f t="shared" si="1"/>
        <v>24</v>
      </c>
      <c r="B27" s="49">
        <v>7</v>
      </c>
      <c r="C27" s="66">
        <v>2</v>
      </c>
      <c r="D27" s="49" t="str">
        <f>IF($G$22=$I$22,CONCATENATE("Zmagovalec tekme #",$A$22),IF($G$22&gt;$I$22,$D$22,$F$22))</f>
        <v>Bakan / Strle GROSUPLJE</v>
      </c>
      <c r="E27" s="49" t="s">
        <v>0</v>
      </c>
      <c r="F27" s="49" t="str">
        <f>IF($G$23=$I$23,CONCATENATE("Zmagovalec tekme #",$A$23),IF($G$23&gt;$I$23,$D$23,$F$23))</f>
        <v>Pšaker / Pražnikar CESTNIK</v>
      </c>
      <c r="G27" s="71">
        <v>2</v>
      </c>
      <c r="H27" s="50" t="s">
        <v>33</v>
      </c>
      <c r="I27" s="76">
        <v>0</v>
      </c>
      <c r="J27" s="51">
        <f t="shared" si="0"/>
        <v>-0.66666666666666663</v>
      </c>
      <c r="K27" s="81">
        <v>15</v>
      </c>
      <c r="L27" s="52" t="s">
        <v>33</v>
      </c>
      <c r="M27" s="86">
        <v>8</v>
      </c>
      <c r="N27" s="81">
        <v>16</v>
      </c>
      <c r="O27" s="52" t="s">
        <v>33</v>
      </c>
      <c r="P27" s="86">
        <v>14</v>
      </c>
      <c r="Q27" s="81"/>
      <c r="R27" s="52" t="s">
        <v>33</v>
      </c>
      <c r="S27" s="93"/>
      <c r="T27" s="94">
        <v>0.66666666666666663</v>
      </c>
      <c r="U27" s="95"/>
      <c r="V27" s="187" t="s">
        <v>115</v>
      </c>
    </row>
    <row r="28" spans="1:22" x14ac:dyDescent="0.25">
      <c r="A28" s="38">
        <f t="shared" si="1"/>
        <v>25</v>
      </c>
      <c r="B28" s="39">
        <v>5</v>
      </c>
      <c r="C28" s="64">
        <v>2</v>
      </c>
      <c r="D28" s="39" t="str">
        <f>IF($G$26=$I$26,CONCATENATE("Zmagovalec tekme #",$A$26),IF($G$26&gt;$I$26,$D$26,$F$26))</f>
        <v>Celarc  / Knep LUDOS</v>
      </c>
      <c r="E28" s="39" t="s">
        <v>0</v>
      </c>
      <c r="F28" s="39" t="str">
        <f>IF($G$25=$I$25,CONCATENATE("Poraženec tekme #",$A$25),IF($G$25&lt;$I$25,$D$25,$F$25))</f>
        <v>Kolar / Lavrič VITAL</v>
      </c>
      <c r="G28" s="69">
        <v>2</v>
      </c>
      <c r="H28" s="40" t="s">
        <v>33</v>
      </c>
      <c r="I28" s="74">
        <v>0</v>
      </c>
      <c r="J28" s="41">
        <f t="shared" si="0"/>
        <v>-0.58333333333333337</v>
      </c>
      <c r="K28" s="79">
        <v>15</v>
      </c>
      <c r="L28" s="42" t="s">
        <v>33</v>
      </c>
      <c r="M28" s="84">
        <v>7</v>
      </c>
      <c r="N28" s="79">
        <v>15</v>
      </c>
      <c r="O28" s="42" t="s">
        <v>33</v>
      </c>
      <c r="P28" s="84">
        <v>3</v>
      </c>
      <c r="Q28" s="79"/>
      <c r="R28" s="42" t="s">
        <v>33</v>
      </c>
      <c r="S28" s="89"/>
      <c r="T28" s="96">
        <v>0.58333333333333337</v>
      </c>
      <c r="U28" s="97"/>
      <c r="V28" s="25" t="s">
        <v>115</v>
      </c>
    </row>
    <row r="29" spans="1:22" ht="16" thickBot="1" x14ac:dyDescent="0.3">
      <c r="A29" s="48">
        <f t="shared" si="1"/>
        <v>26</v>
      </c>
      <c r="B29" s="49">
        <v>5</v>
      </c>
      <c r="C29" s="66">
        <v>1</v>
      </c>
      <c r="D29" s="49" t="str">
        <f>IF($G$27=$I$27,CONCATENATE("Zmagovalec tekme #",$A$27),IF($G$27&gt;$I$27,$D$27,$F$27))</f>
        <v>Bakan / Strle GROSUPLJE</v>
      </c>
      <c r="E29" s="49" t="s">
        <v>0</v>
      </c>
      <c r="F29" s="49" t="str">
        <f>IF($G$24=$I$24,CONCATENATE("Poraženec tekme #",$A$24),IF($G$24&lt;$I$24,$D$24,$F$24))</f>
        <v>Pintar / Hrovat ŠD LOKA</v>
      </c>
      <c r="G29" s="71">
        <v>1</v>
      </c>
      <c r="H29" s="50" t="s">
        <v>33</v>
      </c>
      <c r="I29" s="76">
        <v>2</v>
      </c>
      <c r="J29" s="51">
        <f t="shared" si="0"/>
        <v>-0.58333333333333337</v>
      </c>
      <c r="K29" s="81">
        <v>12</v>
      </c>
      <c r="L29" s="52" t="s">
        <v>33</v>
      </c>
      <c r="M29" s="86">
        <v>15</v>
      </c>
      <c r="N29" s="81">
        <v>15</v>
      </c>
      <c r="O29" s="52" t="s">
        <v>33</v>
      </c>
      <c r="P29" s="86">
        <v>13</v>
      </c>
      <c r="Q29" s="81">
        <v>7</v>
      </c>
      <c r="R29" s="52" t="s">
        <v>33</v>
      </c>
      <c r="S29" s="93">
        <v>15</v>
      </c>
      <c r="T29" s="96">
        <v>0.58333333333333337</v>
      </c>
      <c r="U29" s="95"/>
      <c r="V29" s="187" t="s">
        <v>115</v>
      </c>
    </row>
    <row r="30" spans="1:22" x14ac:dyDescent="0.25">
      <c r="A30" s="38">
        <f t="shared" si="1"/>
        <v>27</v>
      </c>
      <c r="B30" s="39" t="s">
        <v>7</v>
      </c>
      <c r="C30" s="64"/>
      <c r="D30" s="39" t="str">
        <f>IF($G$24=$I$24,CONCATENATE("Zmagovalec tekme #",$A$24),IF($G$24&gt;$I$24,$D$24,$F$24))</f>
        <v>Ferdin / Potočnik LUBNIK</v>
      </c>
      <c r="E30" s="39" t="s">
        <v>0</v>
      </c>
      <c r="F30" s="39" t="str">
        <f>IF($G$28=$I$28,CONCATENATE("Zmagovalec tekme #",$A$28),IF($G$28&gt;$I$28,$D$28,$F$28))</f>
        <v>Celarc  / Knep LUDOS</v>
      </c>
      <c r="G30" s="69">
        <v>2</v>
      </c>
      <c r="H30" s="40" t="s">
        <v>33</v>
      </c>
      <c r="I30" s="74">
        <v>1</v>
      </c>
      <c r="J30" s="41">
        <f t="shared" si="0"/>
        <v>-0.58333333333333337</v>
      </c>
      <c r="K30" s="79">
        <v>12</v>
      </c>
      <c r="L30" s="42" t="s">
        <v>33</v>
      </c>
      <c r="M30" s="84">
        <v>15</v>
      </c>
      <c r="N30" s="79">
        <v>15</v>
      </c>
      <c r="O30" s="42" t="s">
        <v>33</v>
      </c>
      <c r="P30" s="84">
        <v>9</v>
      </c>
      <c r="Q30" s="79">
        <v>16</v>
      </c>
      <c r="R30" s="42" t="s">
        <v>33</v>
      </c>
      <c r="S30" s="89">
        <v>14</v>
      </c>
      <c r="T30" s="96">
        <v>0.58333333333333337</v>
      </c>
      <c r="U30" s="97"/>
      <c r="V30" s="25" t="s">
        <v>115</v>
      </c>
    </row>
    <row r="31" spans="1:22" ht="16" thickBot="1" x14ac:dyDescent="0.3">
      <c r="A31" s="48">
        <f t="shared" si="1"/>
        <v>28</v>
      </c>
      <c r="B31" s="49" t="s">
        <v>7</v>
      </c>
      <c r="C31" s="66"/>
      <c r="D31" s="49" t="str">
        <f>IF($G$25=$I$25,CONCATENATE("Zmagovalec tekme #",$A$25),IF($G$25&gt;$I$25,$D$25,$F$25))</f>
        <v>Kos / Topolovec GROSUPLJE</v>
      </c>
      <c r="E31" s="49" t="s">
        <v>0</v>
      </c>
      <c r="F31" s="49" t="str">
        <f>IF($G$29=$I$29,CONCATENATE("Zmagovalec tekme #",$A$29),IF($G$29&gt;$I$29,$D$29,$F$29))</f>
        <v>Pintar / Hrovat ŠD LOKA</v>
      </c>
      <c r="G31" s="71">
        <v>0</v>
      </c>
      <c r="H31" s="50" t="s">
        <v>33</v>
      </c>
      <c r="I31" s="76">
        <v>2</v>
      </c>
      <c r="J31" s="51">
        <f t="shared" si="0"/>
        <v>-0.5854166666666667</v>
      </c>
      <c r="K31" s="81">
        <v>11</v>
      </c>
      <c r="L31" s="52" t="s">
        <v>33</v>
      </c>
      <c r="M31" s="86">
        <v>15</v>
      </c>
      <c r="N31" s="81">
        <v>13</v>
      </c>
      <c r="O31" s="52" t="s">
        <v>33</v>
      </c>
      <c r="P31" s="86">
        <v>15</v>
      </c>
      <c r="Q31" s="81"/>
      <c r="R31" s="52" t="s">
        <v>33</v>
      </c>
      <c r="S31" s="93"/>
      <c r="T31" s="94">
        <v>0.5854166666666667</v>
      </c>
      <c r="U31" s="95"/>
      <c r="V31" s="187" t="s">
        <v>119</v>
      </c>
    </row>
    <row r="32" spans="1:22" ht="16" thickBot="1" x14ac:dyDescent="0.3">
      <c r="A32" s="53">
        <f t="shared" si="1"/>
        <v>29</v>
      </c>
      <c r="B32" s="54" t="s">
        <v>8</v>
      </c>
      <c r="C32" s="67"/>
      <c r="D32" s="55" t="str">
        <f>IF($G$30=$I$30,CONCATENATE("Poraženec tekme #",$A$30),IF($G$30&lt;$I$30,$D$30,$F$30))</f>
        <v>Celarc  / Knep LUDOS</v>
      </c>
      <c r="E32" s="55" t="s">
        <v>0</v>
      </c>
      <c r="F32" s="55" t="str">
        <f>IF($G$31=$I$31,CONCATENATE("Poraženec tekme #",$A$31),IF($G$31&lt;$I$31,$D$31,$F$31))</f>
        <v>Kos / Topolovec GROSUPLJE</v>
      </c>
      <c r="G32" s="72">
        <v>2</v>
      </c>
      <c r="H32" s="29" t="s">
        <v>33</v>
      </c>
      <c r="I32" s="77">
        <v>0</v>
      </c>
      <c r="J32" s="56">
        <f t="shared" si="0"/>
        <v>-0.5854166666666667</v>
      </c>
      <c r="K32" s="82">
        <v>15</v>
      </c>
      <c r="L32" s="57" t="s">
        <v>33</v>
      </c>
      <c r="M32" s="87">
        <v>11</v>
      </c>
      <c r="N32" s="82">
        <v>15</v>
      </c>
      <c r="O32" s="57" t="s">
        <v>33</v>
      </c>
      <c r="P32" s="87">
        <v>7</v>
      </c>
      <c r="Q32" s="82"/>
      <c r="R32" s="57" t="s">
        <v>33</v>
      </c>
      <c r="S32" s="98"/>
      <c r="T32" s="94">
        <v>0.5854166666666667</v>
      </c>
      <c r="U32" s="99"/>
      <c r="V32" s="188"/>
    </row>
    <row r="33" spans="1:22" ht="16.5" thickTop="1" thickBot="1" x14ac:dyDescent="0.3">
      <c r="A33" s="58">
        <f t="shared" si="1"/>
        <v>30</v>
      </c>
      <c r="B33" s="59" t="s">
        <v>9</v>
      </c>
      <c r="C33" s="68"/>
      <c r="D33" s="59" t="str">
        <f>IF($G$30=$I$30,CONCATENATE("Zmagovalec tekme #",$A$30),IF($G$30&gt;$I$30,$D$30,$F$30))</f>
        <v>Ferdin / Potočnik LUBNIK</v>
      </c>
      <c r="E33" s="59" t="s">
        <v>0</v>
      </c>
      <c r="F33" s="60" t="str">
        <f>IF($G$31=$I$31,CONCATENATE("Zmagovalec tekme #",$A$31),IF($G$31&gt;$I$31,$D$31,$F$31))</f>
        <v>Pintar / Hrovat ŠD LOKA</v>
      </c>
      <c r="G33" s="73">
        <v>2</v>
      </c>
      <c r="H33" s="61" t="s">
        <v>33</v>
      </c>
      <c r="I33" s="78">
        <v>0</v>
      </c>
      <c r="J33" s="62">
        <f t="shared" si="0"/>
        <v>-0.5854166666666667</v>
      </c>
      <c r="K33" s="83">
        <v>15</v>
      </c>
      <c r="L33" s="63" t="s">
        <v>33</v>
      </c>
      <c r="M33" s="88">
        <v>11</v>
      </c>
      <c r="N33" s="83">
        <v>15</v>
      </c>
      <c r="O33" s="63" t="s">
        <v>33</v>
      </c>
      <c r="P33" s="88">
        <v>12</v>
      </c>
      <c r="Q33" s="83"/>
      <c r="R33" s="63" t="s">
        <v>33</v>
      </c>
      <c r="S33" s="100"/>
      <c r="T33" s="94">
        <v>0.5854166666666667</v>
      </c>
      <c r="U33" s="101"/>
      <c r="V33" s="189"/>
    </row>
    <row r="34" spans="1:22" ht="16" thickTop="1" x14ac:dyDescent="0.25"/>
  </sheetData>
  <sheetProtection password="F7CF" sheet="1" selectLockedCells="1"/>
  <mergeCells count="2">
    <mergeCell ref="A1:F1"/>
    <mergeCell ref="G1:J1"/>
  </mergeCells>
  <phoneticPr fontId="0" type="noConversion"/>
  <printOptions horizontalCentered="1"/>
  <pageMargins left="0.59055118110236227" right="0.59055118110236227" top="0.5" bottom="0.39370078740157483" header="0.28000000000000003" footer="0.51181102362204722"/>
  <pageSetup paperSize="9" scale="90" orientation="landscape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3"/>
  <dimension ref="A1:N48"/>
  <sheetViews>
    <sheetView topLeftCell="A16" workbookViewId="0">
      <selection activeCell="E55" sqref="E55"/>
    </sheetView>
  </sheetViews>
  <sheetFormatPr defaultColWidth="9.1796875" defaultRowHeight="9" x14ac:dyDescent="0.25"/>
  <cols>
    <col min="1" max="1" width="14.81640625" style="6" customWidth="1"/>
    <col min="2" max="4" width="12.81640625" style="6" customWidth="1"/>
    <col min="5" max="5" width="10.1796875" style="6" customWidth="1"/>
    <col min="6" max="10" width="12.81640625" style="6" customWidth="1"/>
    <col min="11" max="16384" width="9.1796875" style="6"/>
  </cols>
  <sheetData>
    <row r="1" spans="1:14" ht="15.5" x14ac:dyDescent="0.25">
      <c r="A1" s="102" t="str">
        <f>CONCATENATE(Rezultati!$D$4," ")</f>
        <v xml:space="preserve">Celarc  / Knep LUDOS </v>
      </c>
      <c r="B1" s="11"/>
      <c r="C1" s="103"/>
      <c r="D1" s="207" t="str">
        <f>'Seznam ekip'!C1</f>
        <v>Državno prvenstvo U-16 dekleta glavni turnir</v>
      </c>
      <c r="E1" s="207"/>
      <c r="F1" s="207"/>
      <c r="G1" s="104"/>
      <c r="H1" s="104"/>
      <c r="I1" s="11"/>
      <c r="J1" s="11"/>
      <c r="K1" s="7"/>
      <c r="L1" s="7"/>
      <c r="M1" s="7"/>
      <c r="N1" s="7"/>
    </row>
    <row r="2" spans="1:14" ht="10" customHeight="1" x14ac:dyDescent="0.25">
      <c r="A2" s="105"/>
      <c r="B2" s="11"/>
      <c r="C2" s="103"/>
      <c r="D2" s="103"/>
      <c r="E2" s="106" t="str">
        <f>'Seznam ekip'!C3</f>
        <v>02.07.2023</v>
      </c>
      <c r="F2" s="104"/>
      <c r="G2" s="104"/>
      <c r="H2" s="104"/>
      <c r="I2" s="11"/>
      <c r="J2" s="11"/>
      <c r="K2" s="7"/>
      <c r="L2" s="7"/>
      <c r="M2" s="7"/>
      <c r="N2" s="7"/>
    </row>
    <row r="3" spans="1:14" ht="10" customHeight="1" x14ac:dyDescent="0.25">
      <c r="A3" s="107" t="str">
        <f>CONCATENATE("",Rezultati!$A$4,"")</f>
        <v>1</v>
      </c>
      <c r="B3" s="108" t="str">
        <f>CONCATENATE(Rezultati!$D$12," ")</f>
        <v xml:space="preserve">Celarc  / Knep LUDOS </v>
      </c>
      <c r="C3" s="11"/>
      <c r="D3" s="103"/>
      <c r="E3" s="104"/>
      <c r="F3" s="104"/>
      <c r="G3" s="11"/>
      <c r="H3" s="11"/>
      <c r="I3" s="11"/>
      <c r="J3" s="11"/>
      <c r="K3" s="7"/>
      <c r="L3" s="7"/>
      <c r="M3" s="7"/>
      <c r="N3" s="7"/>
    </row>
    <row r="4" spans="1:14" ht="10" customHeight="1" x14ac:dyDescent="0.25">
      <c r="A4" s="182" t="str">
        <f>CONCATENATE("(",Rezultati!$G$4," : ",Rezultati!$I$4,")")</f>
        <v>(2 : 0)</v>
      </c>
      <c r="B4" s="109"/>
      <c r="C4" s="11"/>
      <c r="D4" s="103"/>
      <c r="E4" s="104"/>
      <c r="F4" s="104"/>
      <c r="G4" s="11"/>
      <c r="H4" s="11"/>
      <c r="I4" s="11"/>
      <c r="J4" s="11"/>
      <c r="K4" s="7"/>
      <c r="L4" s="7"/>
      <c r="M4" s="7"/>
      <c r="N4" s="7"/>
    </row>
    <row r="5" spans="1:14" ht="10" customHeight="1" x14ac:dyDescent="0.25">
      <c r="A5" s="110" t="str">
        <f>CONCATENATE(Rezultati!$F$4," ")</f>
        <v xml:space="preserve">Reflak / Kim Kilar VITAL </v>
      </c>
      <c r="B5" s="111"/>
      <c r="C5" s="11"/>
      <c r="D5" s="103"/>
      <c r="E5" s="11"/>
      <c r="F5" s="104"/>
      <c r="G5" s="11"/>
      <c r="H5" s="104"/>
      <c r="I5" s="11"/>
      <c r="J5" s="11"/>
      <c r="K5" s="7"/>
      <c r="L5" s="7"/>
      <c r="M5" s="7"/>
      <c r="N5" s="7"/>
    </row>
    <row r="6" spans="1:14" ht="10" customHeight="1" x14ac:dyDescent="0.25">
      <c r="A6" s="112"/>
      <c r="B6" s="107" t="str">
        <f>CONCATENATE("",Rezultati!$A$12,"")</f>
        <v>9</v>
      </c>
      <c r="C6" s="113" t="str">
        <f>CONCATENATE(Rezultati!$D$24," ")</f>
        <v xml:space="preserve">Ferdin / Potočnik LUBNIK </v>
      </c>
      <c r="D6" s="11"/>
      <c r="E6" s="11"/>
      <c r="F6" s="11"/>
      <c r="G6" s="11"/>
      <c r="H6" s="104"/>
      <c r="I6" s="104"/>
      <c r="J6" s="11"/>
      <c r="K6" s="7"/>
      <c r="L6" s="7"/>
      <c r="M6" s="7"/>
      <c r="N6" s="7"/>
    </row>
    <row r="7" spans="1:14" ht="10" customHeight="1" x14ac:dyDescent="0.25">
      <c r="A7" s="114" t="str">
        <f>CONCATENATE(Rezultati!$D$5," ")</f>
        <v xml:space="preserve">Gorenc Valenta  / Veselko PORTŽ </v>
      </c>
      <c r="B7" s="183" t="str">
        <f>CONCATENATE("(",Rezultati!$G$12," : ",Rezultati!$I$12,")")</f>
        <v>(1 : 2)</v>
      </c>
      <c r="C7" s="109"/>
      <c r="D7" s="11"/>
      <c r="E7" s="11"/>
      <c r="F7" s="11"/>
      <c r="G7" s="11"/>
      <c r="H7" s="11"/>
      <c r="I7" s="11"/>
      <c r="J7" s="11"/>
      <c r="K7" s="7"/>
      <c r="L7" s="7"/>
      <c r="M7" s="7"/>
      <c r="N7" s="7"/>
    </row>
    <row r="8" spans="1:14" ht="10" customHeight="1" x14ac:dyDescent="0.25">
      <c r="A8" s="105"/>
      <c r="B8" s="115"/>
      <c r="C8" s="115"/>
      <c r="D8" s="11"/>
      <c r="E8" s="11"/>
      <c r="F8" s="11"/>
      <c r="G8" s="112" t="str">
        <f>CONCATENATE(Rezultati!$F$28," ")</f>
        <v xml:space="preserve">Kolar / Lavrič VITAL </v>
      </c>
      <c r="H8" s="104"/>
      <c r="I8" s="11"/>
      <c r="J8" s="112" t="str">
        <f>CONCATENATE(Rezultati!$D$16," ")</f>
        <v xml:space="preserve">Prater / Krejan slovenj gradec </v>
      </c>
      <c r="K8"/>
      <c r="L8" s="7"/>
      <c r="M8" s="7"/>
      <c r="N8" s="7"/>
    </row>
    <row r="9" spans="1:14" ht="10" customHeight="1" x14ac:dyDescent="0.25">
      <c r="A9" s="107" t="str">
        <f>CONCATENATE("",Rezultati!$A$5,"")</f>
        <v>2</v>
      </c>
      <c r="B9" s="116" t="str">
        <f>CONCATENATE(Rezultati!$F$12," ")</f>
        <v xml:space="preserve">Ferdin / Potočnik LUBNIK </v>
      </c>
      <c r="C9" s="115"/>
      <c r="D9" s="103"/>
      <c r="E9" s="117" t="s">
        <v>61</v>
      </c>
      <c r="F9" s="104"/>
      <c r="G9" s="118"/>
      <c r="H9" s="11"/>
      <c r="I9" s="11"/>
      <c r="J9" s="119"/>
      <c r="K9"/>
      <c r="L9"/>
      <c r="M9" s="7"/>
      <c r="N9" s="7"/>
    </row>
    <row r="10" spans="1:14" ht="10" customHeight="1" x14ac:dyDescent="0.25">
      <c r="A10" s="182" t="str">
        <f>CONCATENATE("(",Rezultati!$G$5," : ",Rezultati!$I$5,")")</f>
        <v>(0 : 2)</v>
      </c>
      <c r="B10" s="120"/>
      <c r="C10" s="111"/>
      <c r="D10" s="103"/>
      <c r="E10" s="121"/>
      <c r="F10" s="104"/>
      <c r="G10" s="122"/>
      <c r="H10" s="11"/>
      <c r="I10" s="123" t="str">
        <f>CONCATENATE(Rezultati!$D$20," ")</f>
        <v xml:space="preserve">Pirih / Činku LUBNIK </v>
      </c>
      <c r="J10" s="124" t="str">
        <f>CONCATENATE("",Rezultati!$A$16,"")</f>
        <v>13</v>
      </c>
      <c r="K10"/>
      <c r="L10"/>
      <c r="M10" s="7"/>
      <c r="N10" s="7"/>
    </row>
    <row r="11" spans="1:14" ht="10" customHeight="1" x14ac:dyDescent="0.25">
      <c r="A11" s="110" t="str">
        <f>CONCATENATE(Rezultati!$F$5," ")</f>
        <v xml:space="preserve">Ferdin / Potočnik LUBNIK </v>
      </c>
      <c r="B11" s="103"/>
      <c r="C11" s="125"/>
      <c r="D11" s="103"/>
      <c r="E11" s="11"/>
      <c r="F11" s="104"/>
      <c r="G11" s="126"/>
      <c r="H11" s="11"/>
      <c r="I11" s="127"/>
      <c r="J11" s="146" t="str">
        <f>CONCATENATE("(",Rezultati!$G$16," : ",Rezultati!$I$16,")")</f>
        <v>(1 : 2)</v>
      </c>
      <c r="K11"/>
      <c r="L11"/>
      <c r="M11" s="7"/>
      <c r="N11" s="7"/>
    </row>
    <row r="12" spans="1:14" ht="10" customHeight="1" x14ac:dyDescent="0.25">
      <c r="A12" s="112"/>
      <c r="B12" s="103"/>
      <c r="C12" s="107" t="str">
        <f>CONCATENATE("",Rezultati!$A$24,"")</f>
        <v>21</v>
      </c>
      <c r="D12" s="113" t="str">
        <f>CONCATENATE(Rezultati!$D$30," ")</f>
        <v xml:space="preserve">Ferdin / Potočnik LUBNIK </v>
      </c>
      <c r="E12" s="128" t="str">
        <f>CONCATENATE("",Rezultati!$A$30,"")</f>
        <v>27</v>
      </c>
      <c r="F12" s="103" t="str">
        <f>CONCATENATE(Rezultati!$F$30," ")</f>
        <v xml:space="preserve">Celarc  / Knep LUDOS </v>
      </c>
      <c r="G12" s="124" t="str">
        <f>CONCATENATE("",Rezultati!$A$28,"")</f>
        <v>25</v>
      </c>
      <c r="H12" s="112" t="str">
        <f>CONCATENATE(Rezultati!$D$26," ")</f>
        <v xml:space="preserve">Pirih / Činku LUBNIK </v>
      </c>
      <c r="I12" s="124" t="str">
        <f>CONCATENATE("",Rezultati!$A$20,"")</f>
        <v>17</v>
      </c>
      <c r="J12" s="129" t="str">
        <f>CONCATENATE(Rezultati!$F$16," ")</f>
        <v xml:space="preserve">Pirih / Činku LUBNIK </v>
      </c>
      <c r="K12"/>
      <c r="L12" s="7"/>
      <c r="M12" s="7"/>
      <c r="N12" s="7"/>
    </row>
    <row r="13" spans="1:14" ht="10" customHeight="1" x14ac:dyDescent="0.25">
      <c r="A13" s="114" t="str">
        <f>CONCATENATE(Rezultati!$D$6," ")</f>
        <v xml:space="preserve">Pintar / Hrovat ŠD LOKA </v>
      </c>
      <c r="B13" s="103"/>
      <c r="C13" s="183" t="str">
        <f>CONCATENATE("(",Rezultati!$G$24," : ",Rezultati!$I$24,")")</f>
        <v>(2 : 1)</v>
      </c>
      <c r="D13" s="120"/>
      <c r="E13" s="130" t="str">
        <f>CONCATENATE("(",Rezultati!$G$30," : ",Rezultati!$I$30,")")</f>
        <v>(2 : 1)</v>
      </c>
      <c r="F13" s="131"/>
      <c r="G13" s="146" t="str">
        <f>CONCATENATE("(",Rezultati!$I$28," : ",Rezultati!$G$28,")")</f>
        <v>(0 : 2)</v>
      </c>
      <c r="H13" s="132"/>
      <c r="I13" s="146" t="str">
        <f>CONCATENATE("(",Rezultati!$G$20," : ",Rezultati!$I$20,")")</f>
        <v>(2 : 1)</v>
      </c>
      <c r="J13" s="11"/>
      <c r="K13"/>
      <c r="L13"/>
      <c r="M13" s="7"/>
      <c r="N13" s="7"/>
    </row>
    <row r="14" spans="1:14" ht="10" customHeight="1" x14ac:dyDescent="0.25">
      <c r="A14" s="105"/>
      <c r="B14" s="103"/>
      <c r="C14" s="115"/>
      <c r="D14" s="103"/>
      <c r="E14" s="11"/>
      <c r="F14" s="104"/>
      <c r="G14" s="133"/>
      <c r="H14" s="133"/>
      <c r="I14" s="129" t="str">
        <f>CONCATENATE(Rezultati!$F$20," ")</f>
        <v xml:space="preserve">Šketa Rozman / Rozman CESTNIK </v>
      </c>
      <c r="J14" s="11"/>
      <c r="K14" s="7"/>
      <c r="L14"/>
      <c r="M14" s="7"/>
      <c r="N14" s="7"/>
    </row>
    <row r="15" spans="1:14" ht="10" customHeight="1" x14ac:dyDescent="0.25">
      <c r="A15" s="107" t="str">
        <f>CONCATENATE("",Rezultati!$A$6,"")</f>
        <v>3</v>
      </c>
      <c r="B15" s="113" t="str">
        <f>CONCATENATE(Rezultati!$D$13," ")</f>
        <v xml:space="preserve">Pintar / Hrovat ŠD LOKA </v>
      </c>
      <c r="C15" s="115"/>
      <c r="D15" s="103"/>
      <c r="E15" s="104"/>
      <c r="F15" s="104"/>
      <c r="G15" s="133"/>
      <c r="H15" s="126"/>
      <c r="I15" s="11"/>
      <c r="J15" s="11"/>
      <c r="K15" s="7"/>
      <c r="L15" s="7"/>
      <c r="M15" s="7"/>
      <c r="N15" s="7"/>
    </row>
    <row r="16" spans="1:14" ht="10" customHeight="1" x14ac:dyDescent="0.25">
      <c r="A16" s="182" t="str">
        <f>CONCATENATE("(",Rezultati!$G$6," : ",Rezultati!$I$6,")")</f>
        <v>(2 : 0)</v>
      </c>
      <c r="B16" s="109"/>
      <c r="C16" s="115"/>
      <c r="D16" s="103"/>
      <c r="E16" s="104"/>
      <c r="F16" s="104"/>
      <c r="G16" s="134" t="str">
        <f>CONCATENATE(Rezultati!$D$28," ")</f>
        <v xml:space="preserve">Celarc  / Knep LUDOS </v>
      </c>
      <c r="H16" s="124" t="str">
        <f>CONCATENATE("",Rezultati!$A$26,"")</f>
        <v>23</v>
      </c>
      <c r="I16" s="11"/>
      <c r="J16" s="112" t="str">
        <f>CONCATENATE(Rezultati!$D$17," ")</f>
        <v xml:space="preserve">Pavlič  / Danyliuk PORTŽ </v>
      </c>
      <c r="K16" s="7"/>
      <c r="L16" s="7"/>
      <c r="M16" s="7"/>
      <c r="N16" s="7"/>
    </row>
    <row r="17" spans="1:14" ht="10" customHeight="1" x14ac:dyDescent="0.25">
      <c r="A17" s="110" t="str">
        <f>CONCATENATE(Rezultati!$F$6," ")</f>
        <v xml:space="preserve">Torej / Halilovič PORTŽ </v>
      </c>
      <c r="B17" s="115"/>
      <c r="C17" s="115"/>
      <c r="D17" s="103"/>
      <c r="E17" s="104"/>
      <c r="F17" s="104"/>
      <c r="G17" s="131"/>
      <c r="H17" s="146" t="str">
        <f>CONCATENATE("(",Rezultati!$G$26," : ",Rezultati!$I$26,")")</f>
        <v>(0 : 2)</v>
      </c>
      <c r="I17" s="11"/>
      <c r="J17" s="119"/>
      <c r="K17" s="7"/>
      <c r="L17" s="7"/>
      <c r="M17" s="7"/>
      <c r="N17" s="7"/>
    </row>
    <row r="18" spans="1:14" ht="10" customHeight="1" x14ac:dyDescent="0.25">
      <c r="A18" s="135"/>
      <c r="B18" s="107" t="str">
        <f>CONCATENATE("",Rezultati!$A$13,"")</f>
        <v>10</v>
      </c>
      <c r="C18" s="136" t="str">
        <f>CONCATENATE(Rezultati!$F$24," ")</f>
        <v xml:space="preserve">Pintar / Hrovat ŠD LOKA </v>
      </c>
      <c r="D18" s="103"/>
      <c r="E18" s="104"/>
      <c r="F18" s="104"/>
      <c r="G18" s="104"/>
      <c r="H18" s="133"/>
      <c r="I18" s="123" t="str">
        <f>CONCATENATE(Rezultati!$D$21," ")</f>
        <v xml:space="preserve">Šoštarič / Rošer CESTNIK </v>
      </c>
      <c r="J18" s="124" t="str">
        <f>CONCATENATE("",Rezultati!$A$17,"")</f>
        <v>14</v>
      </c>
      <c r="K18" s="7"/>
      <c r="L18"/>
      <c r="M18" s="7"/>
      <c r="N18" s="7"/>
    </row>
    <row r="19" spans="1:14" ht="10" customHeight="1" x14ac:dyDescent="0.25">
      <c r="A19" s="114" t="str">
        <f>CONCATENATE(Rezultati!$D$7," ")</f>
        <v xml:space="preserve">Šketa Rozman / Rozman CESTNIK </v>
      </c>
      <c r="B19" s="183" t="str">
        <f>CONCATENATE("(",Rezultati!$G$13," : ",Rezultati!$I$13,")")</f>
        <v>(2 : 0)</v>
      </c>
      <c r="C19" s="120"/>
      <c r="D19" s="103"/>
      <c r="E19" s="104"/>
      <c r="F19" s="104"/>
      <c r="G19" s="104"/>
      <c r="H19" s="133"/>
      <c r="I19" s="127"/>
      <c r="J19" s="146" t="str">
        <f>CONCATENATE("(",Rezultati!$G$17," : ",Rezultati!$I$17,")")</f>
        <v>(0 : 2)</v>
      </c>
      <c r="K19" s="7"/>
      <c r="L19"/>
      <c r="M19" s="7"/>
      <c r="N19" s="7"/>
    </row>
    <row r="20" spans="1:14" ht="10" customHeight="1" x14ac:dyDescent="0.25">
      <c r="A20" s="105"/>
      <c r="B20" s="115"/>
      <c r="C20" s="11"/>
      <c r="D20" s="137" t="str">
        <f>CONCATENATE(Rezultati!$D$33," ")</f>
        <v xml:space="preserve">Ferdin / Potočnik LUBNIK </v>
      </c>
      <c r="E20" s="138"/>
      <c r="F20" s="137" t="str">
        <f>CONCATENATE(Rezultati!$D$32," ")</f>
        <v xml:space="preserve">Celarc  / Knep LUDOS </v>
      </c>
      <c r="G20" s="104"/>
      <c r="H20" s="139" t="str">
        <f>CONCATENATE(Rezultati!$F$26," ")</f>
        <v xml:space="preserve">Celarc  / Knep LUDOS </v>
      </c>
      <c r="I20" s="124" t="str">
        <f>CONCATENATE("",Rezultati!$A$21,"")</f>
        <v>18</v>
      </c>
      <c r="J20" s="129" t="str">
        <f>CONCATENATE(Rezultati!$F$17," ")</f>
        <v xml:space="preserve">Šoštarič / Rošer CESTNIK </v>
      </c>
      <c r="K20" s="7"/>
      <c r="L20" s="7"/>
      <c r="M20" s="7"/>
      <c r="N20" s="7"/>
    </row>
    <row r="21" spans="1:14" ht="10" customHeight="1" x14ac:dyDescent="0.25">
      <c r="A21" s="107" t="str">
        <f>CONCATENATE("",Rezultati!$A$7,"")</f>
        <v>4</v>
      </c>
      <c r="B21" s="136" t="str">
        <f>CONCATENATE(Rezultati!$F$13," ")</f>
        <v xml:space="preserve">Šketa Rozman / Rozman CESTNIK </v>
      </c>
      <c r="C21" s="103"/>
      <c r="D21" s="132"/>
      <c r="E21" s="104"/>
      <c r="F21" s="140"/>
      <c r="G21" s="104"/>
      <c r="H21" s="131"/>
      <c r="I21" s="146" t="str">
        <f>CONCATENATE("(",Rezultati!$G$21," : ",Rezultati!$I$21,")")</f>
        <v>(0 : 2)</v>
      </c>
      <c r="J21" s="141"/>
      <c r="K21" s="7"/>
      <c r="L21" s="7"/>
      <c r="M21" s="7"/>
      <c r="N21" s="7"/>
    </row>
    <row r="22" spans="1:14" ht="10" customHeight="1" x14ac:dyDescent="0.25">
      <c r="A22" s="182" t="str">
        <f>CONCATENATE("(",Rezultati!$G$7," : ",Rezultati!$I$7,")")</f>
        <v>(2 : 1)</v>
      </c>
      <c r="B22" s="120"/>
      <c r="C22" s="103"/>
      <c r="D22" s="142" t="s">
        <v>62</v>
      </c>
      <c r="E22" s="104"/>
      <c r="F22" s="143" t="s">
        <v>63</v>
      </c>
      <c r="G22" s="104"/>
      <c r="H22" s="11"/>
      <c r="I22" s="129" t="str">
        <f>CONCATENATE(Rezultati!$F$21," ")</f>
        <v xml:space="preserve">Celarc  / Knep LUDOS </v>
      </c>
      <c r="J22" s="11"/>
      <c r="K22" s="7"/>
      <c r="L22" s="7"/>
      <c r="M22" s="7"/>
      <c r="N22" s="7"/>
    </row>
    <row r="23" spans="1:14" ht="10" customHeight="1" x14ac:dyDescent="0.25">
      <c r="A23" s="110" t="str">
        <f>CONCATENATE(Rezultati!$F$7," ")</f>
        <v xml:space="preserve">Bakan / Strle GROSUPLJE </v>
      </c>
      <c r="B23" s="11"/>
      <c r="C23" s="103"/>
      <c r="D23" s="142"/>
      <c r="E23" s="104"/>
      <c r="F23" s="144"/>
      <c r="G23" s="104"/>
      <c r="H23" s="11"/>
      <c r="I23" s="11"/>
      <c r="J23" s="141"/>
      <c r="K23" s="7"/>
      <c r="L23" s="7"/>
      <c r="M23" s="7"/>
      <c r="N23" s="7"/>
    </row>
    <row r="24" spans="1:14" ht="10" customHeight="1" x14ac:dyDescent="0.25">
      <c r="A24" s="11"/>
      <c r="B24" s="103"/>
      <c r="C24" s="11"/>
      <c r="D24" s="145" t="str">
        <f>CONCATENATE("",Rezultati!$A$33,"")</f>
        <v>30</v>
      </c>
      <c r="E24" s="104"/>
      <c r="F24" s="107" t="str">
        <f>CONCATENATE("",Rezultati!$A$32,"")</f>
        <v>29</v>
      </c>
      <c r="G24" s="11"/>
      <c r="H24" s="104"/>
      <c r="I24" s="11"/>
      <c r="J24" s="141"/>
      <c r="K24" s="7"/>
      <c r="L24" s="7"/>
      <c r="M24" s="7"/>
      <c r="N24" s="7"/>
    </row>
    <row r="25" spans="1:14" ht="10" customHeight="1" x14ac:dyDescent="0.25">
      <c r="A25" s="114" t="str">
        <f>CONCATENATE(Rezultati!$D$8," ")</f>
        <v xml:space="preserve">Pšaker / Pražnikar CESTNIK </v>
      </c>
      <c r="B25" s="11"/>
      <c r="C25" s="103"/>
      <c r="D25" s="146"/>
      <c r="E25" s="104"/>
      <c r="F25" s="111"/>
      <c r="G25" s="141"/>
      <c r="H25" s="104"/>
      <c r="I25" s="11"/>
      <c r="J25" s="11"/>
      <c r="K25" s="7"/>
      <c r="L25" s="7"/>
      <c r="M25" s="7"/>
      <c r="N25" s="7"/>
    </row>
    <row r="26" spans="1:14" ht="10" customHeight="1" x14ac:dyDescent="0.25">
      <c r="A26" s="105"/>
      <c r="B26" s="11"/>
      <c r="C26" s="103"/>
      <c r="D26" s="146" t="str">
        <f>CONCATENATE("(",Rezultati!$G$33," : ",Rezultati!$I$33,")")</f>
        <v>(2 : 0)</v>
      </c>
      <c r="E26" s="104"/>
      <c r="F26" s="143" t="str">
        <f>CONCATENATE("(",Rezultati!$G$32," : ",Rezultati!$I$32,")")</f>
        <v>(2 : 0)</v>
      </c>
      <c r="G26" s="11"/>
      <c r="H26" s="11"/>
      <c r="I26" s="11"/>
      <c r="J26" s="11"/>
      <c r="K26" s="7"/>
      <c r="L26" s="7"/>
      <c r="M26" s="7"/>
      <c r="N26" s="7"/>
    </row>
    <row r="27" spans="1:14" ht="10" customHeight="1" x14ac:dyDescent="0.25">
      <c r="A27" s="107" t="str">
        <f>CONCATENATE("",Rezultati!$A$8,"")</f>
        <v>5</v>
      </c>
      <c r="B27" s="114" t="str">
        <f>CONCATENATE(Rezultati!$D$14," ")</f>
        <v xml:space="preserve">Pšaker / Pražnikar CESTNIK </v>
      </c>
      <c r="C27" s="11"/>
      <c r="D27" s="146"/>
      <c r="E27" s="104"/>
      <c r="F27" s="147"/>
      <c r="G27" s="104"/>
      <c r="H27" s="104"/>
      <c r="I27" s="141"/>
      <c r="J27" s="104"/>
    </row>
    <row r="28" spans="1:14" ht="10" customHeight="1" x14ac:dyDescent="0.25">
      <c r="A28" s="182" t="str">
        <f>CONCATENATE("(",Rezultati!$G$8," : ",Rezultati!$I$8,")")</f>
        <v>(2 : 0)</v>
      </c>
      <c r="B28" s="109"/>
      <c r="C28" s="11"/>
      <c r="D28" s="148" t="str">
        <f>CONCATENATE(Rezultati!$F$33," ")</f>
        <v xml:space="preserve">Pintar / Hrovat ŠD LOKA </v>
      </c>
      <c r="E28" s="104"/>
      <c r="F28" s="149" t="str">
        <f>CONCATENATE(Rezultati!$F$32," ")</f>
        <v xml:space="preserve">Kos / Topolovec GROSUPLJE </v>
      </c>
      <c r="G28" s="104"/>
      <c r="H28" s="11"/>
      <c r="I28" s="104"/>
      <c r="J28" s="11"/>
    </row>
    <row r="29" spans="1:14" ht="10" customHeight="1" x14ac:dyDescent="0.25">
      <c r="A29" s="110" t="str">
        <f>CONCATENATE(Rezultati!$F$8," ")</f>
        <v xml:space="preserve">Šoštarič / Rošer CESTNIK </v>
      </c>
      <c r="B29" s="115"/>
      <c r="C29" s="11"/>
      <c r="D29" s="103"/>
      <c r="E29" s="104"/>
      <c r="F29" s="104"/>
      <c r="G29" s="11"/>
      <c r="H29" s="104"/>
      <c r="I29" s="104"/>
      <c r="J29" s="11"/>
    </row>
    <row r="30" spans="1:14" ht="10" customHeight="1" x14ac:dyDescent="0.25">
      <c r="A30" s="141"/>
      <c r="B30" s="107" t="str">
        <f>CONCATENATE("",Rezultati!$A$14,"")</f>
        <v>11</v>
      </c>
      <c r="C30" s="114" t="str">
        <f>CONCATENATE(Rezultati!$D$25," ")</f>
        <v xml:space="preserve">Kos / Topolovec GROSUPLJE </v>
      </c>
      <c r="D30" s="11"/>
      <c r="E30" s="104"/>
      <c r="F30" s="11"/>
      <c r="G30" s="11"/>
      <c r="H30" s="11"/>
      <c r="I30" s="11"/>
      <c r="J30" s="11"/>
    </row>
    <row r="31" spans="1:14" ht="10" customHeight="1" x14ac:dyDescent="0.25">
      <c r="A31" s="114" t="str">
        <f>CONCATENATE(Rezultati!$D$9," ")</f>
        <v xml:space="preserve">Pavlič  / Danyliuk PORTŽ </v>
      </c>
      <c r="B31" s="183" t="str">
        <f>CONCATENATE("(",Rezultati!$G$14," : ",Rezultati!$I$14,")")</f>
        <v>(0 : 2)</v>
      </c>
      <c r="C31" s="109"/>
      <c r="D31" s="11"/>
      <c r="E31" s="104"/>
      <c r="F31" s="11"/>
      <c r="G31" s="104"/>
      <c r="H31" s="11"/>
      <c r="I31" s="11"/>
      <c r="J31" s="11"/>
    </row>
    <row r="32" spans="1:14" ht="10" customHeight="1" x14ac:dyDescent="0.25">
      <c r="A32" s="105"/>
      <c r="B32" s="115"/>
      <c r="C32" s="115"/>
      <c r="D32" s="103"/>
      <c r="E32" s="104"/>
      <c r="F32" s="104"/>
      <c r="G32" s="112" t="str">
        <f>CONCATENATE(Rezultati!$F$29," ")</f>
        <v xml:space="preserve">Pintar / Hrovat ŠD LOKA </v>
      </c>
      <c r="H32" s="104"/>
      <c r="I32" s="11"/>
      <c r="J32" s="112" t="str">
        <f>CONCATENATE(Rezultati!$D$18," ")</f>
        <v xml:space="preserve">Bakan / Strle GROSUPLJE </v>
      </c>
      <c r="K32"/>
    </row>
    <row r="33" spans="1:12" ht="10" customHeight="1" x14ac:dyDescent="0.25">
      <c r="A33" s="107" t="str">
        <f>CONCATENATE("",Rezultati!$A$9,"")</f>
        <v>6</v>
      </c>
      <c r="B33" s="110" t="str">
        <f>CONCATENATE(Rezultati!$F$14," ")</f>
        <v xml:space="preserve">Kos / Topolovec GROSUPLJE </v>
      </c>
      <c r="C33" s="115"/>
      <c r="D33" s="103"/>
      <c r="E33" s="104"/>
      <c r="F33" s="104"/>
      <c r="G33" s="118"/>
      <c r="H33" s="104"/>
      <c r="I33" s="11"/>
      <c r="J33" s="119"/>
      <c r="K33"/>
    </row>
    <row r="34" spans="1:12" ht="10" customHeight="1" x14ac:dyDescent="0.25">
      <c r="A34" s="182" t="str">
        <f>CONCATENATE("(",Rezultati!$G$9," : ",Rezultati!$I$9,")")</f>
        <v>(0 : 2)</v>
      </c>
      <c r="B34" s="120"/>
      <c r="C34" s="111"/>
      <c r="D34" s="103"/>
      <c r="E34" s="104"/>
      <c r="F34" s="104"/>
      <c r="G34" s="122"/>
      <c r="H34" s="104"/>
      <c r="I34" s="123" t="str">
        <f>CONCATENATE(Rezultati!$D$22," ")</f>
        <v xml:space="preserve">Bakan / Strle GROSUPLJE </v>
      </c>
      <c r="J34" s="124" t="str">
        <f>CONCATENATE("",Rezultati!$A$18,"")</f>
        <v>15</v>
      </c>
      <c r="K34"/>
      <c r="L34"/>
    </row>
    <row r="35" spans="1:12" ht="10" customHeight="1" x14ac:dyDescent="0.25">
      <c r="A35" s="110" t="str">
        <f>CONCATENATE(Rezultati!$F$9," ")</f>
        <v xml:space="preserve">Kos / Topolovec GROSUPLJE </v>
      </c>
      <c r="B35" s="11"/>
      <c r="C35" s="150"/>
      <c r="D35" s="103"/>
      <c r="E35" s="151"/>
      <c r="F35" s="104"/>
      <c r="G35" s="133"/>
      <c r="H35" s="11"/>
      <c r="I35" s="127"/>
      <c r="J35" s="146" t="str">
        <f>CONCATENATE("(",Rezultati!$G$18," : ",Rezultati!$I$18,")")</f>
        <v>(2 : 0)</v>
      </c>
      <c r="K35"/>
    </row>
    <row r="36" spans="1:12" ht="10" customHeight="1" x14ac:dyDescent="0.25">
      <c r="A36" s="135"/>
      <c r="B36" s="11"/>
      <c r="C36" s="107" t="str">
        <f>CONCATENATE("",Rezultati!$A$25,"")</f>
        <v>22</v>
      </c>
      <c r="D36" s="152" t="str">
        <f>CONCATENATE(Rezultati!$D$31," ")</f>
        <v xml:space="preserve">Kos / Topolovec GROSUPLJE </v>
      </c>
      <c r="E36" s="153" t="str">
        <f>CONCATENATE("",Rezultati!$A$31,"")</f>
        <v>28</v>
      </c>
      <c r="F36" s="103" t="str">
        <f>CONCATENATE(Rezultati!$F$31," ")</f>
        <v xml:space="preserve">Pintar / Hrovat ŠD LOKA </v>
      </c>
      <c r="G36" s="124" t="str">
        <f>CONCATENATE("",Rezultati!$A$29,"")</f>
        <v>26</v>
      </c>
      <c r="H36" s="11"/>
      <c r="I36" s="124" t="str">
        <f>CONCATENATE("",Rezultati!$A$22,"")</f>
        <v>19</v>
      </c>
      <c r="J36" s="129" t="str">
        <f>CONCATENATE(Rezultati!$F$18," ")</f>
        <v xml:space="preserve">Torej / Halilovič PORTŽ </v>
      </c>
      <c r="K36"/>
    </row>
    <row r="37" spans="1:12" ht="10" customHeight="1" x14ac:dyDescent="0.25">
      <c r="A37" s="114" t="str">
        <f>CONCATENATE(Rezultati!$D$10," ")</f>
        <v xml:space="preserve">Pečovnik / Ferk BRASLOVČE </v>
      </c>
      <c r="B37" s="103"/>
      <c r="C37" s="183" t="str">
        <f>CONCATENATE("(",Rezultati!$G$25," : ",Rezultati!$I$25,")")</f>
        <v>(2 : 0)</v>
      </c>
      <c r="D37" s="120"/>
      <c r="E37" s="154" t="str">
        <f>CONCATENATE("(",Rezultati!$G$31," : ",Rezultati!$I$31,")")</f>
        <v>(0 : 2)</v>
      </c>
      <c r="F37" s="131"/>
      <c r="G37" s="146" t="str">
        <f>CONCATENATE("(",Rezultati!$I$29," : ",Rezultati!$G$29,")")</f>
        <v>(2 : 1)</v>
      </c>
      <c r="H37" s="123" t="str">
        <f>CONCATENATE(Rezultati!$D$27," ")</f>
        <v xml:space="preserve">Bakan / Strle GROSUPLJE </v>
      </c>
      <c r="I37" s="146" t="str">
        <f>CONCATENATE("(",Rezultati!$G$22," : ",Rezultati!$I$22,")")</f>
        <v>(2 : 0)</v>
      </c>
      <c r="J37" s="104"/>
      <c r="K37"/>
    </row>
    <row r="38" spans="1:12" ht="10" customHeight="1" x14ac:dyDescent="0.25">
      <c r="A38" s="105"/>
      <c r="B38" s="103"/>
      <c r="C38" s="115"/>
      <c r="D38" s="103"/>
      <c r="E38" s="141"/>
      <c r="F38" s="104"/>
      <c r="G38" s="133"/>
      <c r="H38" s="133"/>
      <c r="I38" s="129" t="str">
        <f>CONCATENATE(Rezultati!$F$22," ")</f>
        <v xml:space="preserve">Pečovnik / Ferk BRASLOVČE </v>
      </c>
      <c r="J38" s="11"/>
      <c r="K38" s="7"/>
      <c r="L38"/>
    </row>
    <row r="39" spans="1:12" ht="10" customHeight="1" x14ac:dyDescent="0.25">
      <c r="A39" s="107" t="str">
        <f>CONCATENATE("",Rezultati!$A$10,"")</f>
        <v>7</v>
      </c>
      <c r="B39" s="114" t="str">
        <f>CONCATENATE(Rezultati!$D$15," ")</f>
        <v xml:space="preserve">Pečovnik / Ferk BRASLOVČE </v>
      </c>
      <c r="C39" s="115"/>
      <c r="D39" s="103"/>
      <c r="E39" s="117"/>
      <c r="F39" s="104"/>
      <c r="G39" s="133"/>
      <c r="H39" s="133"/>
      <c r="I39" s="104"/>
      <c r="J39" s="141"/>
      <c r="K39" s="7"/>
    </row>
    <row r="40" spans="1:12" ht="10" customHeight="1" x14ac:dyDescent="0.25">
      <c r="A40" s="182" t="str">
        <f>CONCATENATE("(",Rezultati!$G$10," : ",Rezultati!$I$10,")")</f>
        <v>(2 : 0)</v>
      </c>
      <c r="B40" s="109"/>
      <c r="C40" s="115"/>
      <c r="D40" s="11"/>
      <c r="E40" s="11"/>
      <c r="F40" s="11"/>
      <c r="G40" s="134" t="str">
        <f>CONCATENATE(Rezultati!$D$29," ")</f>
        <v xml:space="preserve">Bakan / Strle GROSUPLJE </v>
      </c>
      <c r="H40" s="124" t="str">
        <f>CONCATENATE("",Rezultati!$A$27,"")</f>
        <v>24</v>
      </c>
      <c r="I40" s="11"/>
      <c r="J40" s="123" t="str">
        <f>CONCATENATE(Rezultati!$D$19," ")</f>
        <v xml:space="preserve">Gorenc Valenta  / Veselko PORTŽ </v>
      </c>
      <c r="K40" s="7"/>
      <c r="L40"/>
    </row>
    <row r="41" spans="1:12" ht="10" customHeight="1" x14ac:dyDescent="0.25">
      <c r="A41" s="110" t="str">
        <f>CONCATENATE(Rezultati!$F$10," ")</f>
        <v xml:space="preserve">Pirih / Činku LUBNIK </v>
      </c>
      <c r="B41" s="115"/>
      <c r="C41" s="115"/>
      <c r="D41" s="11"/>
      <c r="E41" s="11"/>
      <c r="F41" s="11"/>
      <c r="G41" s="131"/>
      <c r="H41" s="146" t="str">
        <f>CONCATENATE("(",Rezultati!$G$27," : ",Rezultati!$I$27,")")</f>
        <v>(2 : 0)</v>
      </c>
      <c r="I41" s="11"/>
      <c r="J41" s="126"/>
      <c r="K41" s="7"/>
    </row>
    <row r="42" spans="1:12" ht="10" customHeight="1" x14ac:dyDescent="0.25">
      <c r="A42" s="135"/>
      <c r="B42" s="107" t="str">
        <f>CONCATENATE("",Rezultati!$A$15,"")</f>
        <v>12</v>
      </c>
      <c r="C42" s="110" t="str">
        <f>CONCATENATE(Rezultati!$F$25," ")</f>
        <v xml:space="preserve">Kolar / Lavrič VITAL </v>
      </c>
      <c r="D42" s="11"/>
      <c r="E42" s="11"/>
      <c r="F42" s="11"/>
      <c r="G42" s="11"/>
      <c r="H42" s="133"/>
      <c r="I42" s="123" t="str">
        <f>CONCATENATE(Rezultati!$D$23," ")</f>
        <v xml:space="preserve">Gorenc Valenta  / Veselko PORTŽ </v>
      </c>
      <c r="J42" s="124" t="str">
        <f>CONCATENATE("",Rezultati!$A$19,"")</f>
        <v>16</v>
      </c>
      <c r="K42" s="7"/>
      <c r="L42"/>
    </row>
    <row r="43" spans="1:12" ht="10" customHeight="1" x14ac:dyDescent="0.25">
      <c r="A43" s="114" t="str">
        <f>CONCATENATE(Rezultati!$D$11," ")</f>
        <v xml:space="preserve">Kolar / Lavrič VITAL </v>
      </c>
      <c r="B43" s="183" t="str">
        <f>CONCATENATE("(",Rezultati!$G$15," : ",Rezultati!$I$15,")")</f>
        <v>(1 : 2)</v>
      </c>
      <c r="C43" s="120"/>
      <c r="D43" s="11"/>
      <c r="E43" s="11"/>
      <c r="F43" s="11"/>
      <c r="G43" s="11"/>
      <c r="H43" s="133"/>
      <c r="I43" s="127"/>
      <c r="J43" s="146" t="str">
        <f>CONCATENATE("(",Rezultati!$G$19," : ",Rezultati!$I$19,")")</f>
        <v>(2 : 1)</v>
      </c>
      <c r="K43" s="7"/>
    </row>
    <row r="44" spans="1:12" ht="10" customHeight="1" x14ac:dyDescent="0.25">
      <c r="A44" s="105"/>
      <c r="B44" s="115"/>
      <c r="C44" s="11"/>
      <c r="D44" s="11"/>
      <c r="E44" s="11"/>
      <c r="F44" s="11"/>
      <c r="G44" s="11"/>
      <c r="H44" s="139" t="str">
        <f>CONCATENATE(Rezultati!$F$27," ")</f>
        <v xml:space="preserve">Pšaker / Pražnikar CESTNIK </v>
      </c>
      <c r="I44" s="124" t="str">
        <f>CONCATENATE("",Rezultati!$A$23,"")</f>
        <v>20</v>
      </c>
      <c r="J44" s="129" t="str">
        <f>CONCATENATE(Rezultati!$F$19," ")</f>
        <v xml:space="preserve">Reflak / Kim Kilar VITAL </v>
      </c>
      <c r="K44" s="7"/>
    </row>
    <row r="45" spans="1:12" ht="10" customHeight="1" x14ac:dyDescent="0.25">
      <c r="A45" s="107" t="str">
        <f>CONCATENATE("",Rezultati!$A$11,"")</f>
        <v>8</v>
      </c>
      <c r="B45" s="110" t="str">
        <f>CONCATENATE(Rezultati!$F$15," ")</f>
        <v xml:space="preserve">Kolar / Lavrič VITAL </v>
      </c>
      <c r="C45" s="103"/>
      <c r="D45" s="103"/>
      <c r="E45" s="11"/>
      <c r="F45" s="104"/>
      <c r="G45" s="104"/>
      <c r="H45" s="131"/>
      <c r="I45" s="146" t="str">
        <f>CONCATENATE("(",Rezultati!$G$23," : ",Rezultati!$I$23,")")</f>
        <v>(1 : 2)</v>
      </c>
      <c r="J45" s="141"/>
      <c r="K45" s="7"/>
    </row>
    <row r="46" spans="1:12" ht="10" customHeight="1" x14ac:dyDescent="0.25">
      <c r="A46" s="182" t="str">
        <f>CONCATENATE("(",Rezultati!$G$11," : ",Rezultati!$I$11,")")</f>
        <v>(2 : 0)</v>
      </c>
      <c r="B46" s="120"/>
      <c r="C46" s="103"/>
      <c r="D46" s="103"/>
      <c r="E46" s="11"/>
      <c r="F46" s="104"/>
      <c r="G46" s="104"/>
      <c r="H46" s="11"/>
      <c r="I46" s="129" t="str">
        <f>CONCATENATE(Rezultati!$F$23," ")</f>
        <v xml:space="preserve">Pšaker / Pražnikar CESTNIK </v>
      </c>
      <c r="J46" s="11"/>
      <c r="K46" s="7"/>
    </row>
    <row r="47" spans="1:12" ht="10" customHeight="1" x14ac:dyDescent="0.25">
      <c r="A47" s="110" t="str">
        <f>CONCATENATE(Rezultati!$F$11," ")</f>
        <v xml:space="preserve">Prater / Krejan slovenj gradec </v>
      </c>
      <c r="B47" s="11"/>
      <c r="C47" s="103"/>
      <c r="D47" s="103"/>
      <c r="E47" s="104"/>
      <c r="F47" s="104"/>
      <c r="G47" s="104"/>
      <c r="H47" s="11"/>
      <c r="I47" s="11"/>
      <c r="J47" s="11"/>
      <c r="K47" s="7"/>
    </row>
    <row r="48" spans="1:12" ht="12.5" x14ac:dyDescent="0.25">
      <c r="A48"/>
      <c r="B48"/>
      <c r="C48"/>
      <c r="D48" s="5"/>
      <c r="H48"/>
      <c r="I48"/>
      <c r="J48"/>
      <c r="K48" s="7"/>
    </row>
  </sheetData>
  <sheetProtection password="F7CF" sheet="1" selectLockedCells="1"/>
  <mergeCells count="1">
    <mergeCell ref="D1:F1"/>
  </mergeCells>
  <phoneticPr fontId="0" type="noConversion"/>
  <printOptions horizontalCentered="1" verticalCentered="1"/>
  <pageMargins left="0.39370078740157483" right="0.39370078740157483" top="0.27559055118110237" bottom="0.39370078740157483" header="0.51181102362204722" footer="0.27559055118110237"/>
  <pageSetup paperSize="9" scale="110" orientation="landscape" horizontalDpi="4294967292" verticalDpi="4294967292" r:id="rId1"/>
  <headerFooter alignWithMargins="0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4"/>
  <dimension ref="A1:D23"/>
  <sheetViews>
    <sheetView workbookViewId="0">
      <selection activeCell="B7" sqref="B7"/>
    </sheetView>
  </sheetViews>
  <sheetFormatPr defaultColWidth="8.81640625" defaultRowHeight="12.5" x14ac:dyDescent="0.25"/>
  <cols>
    <col min="1" max="1" width="4" style="3" customWidth="1"/>
    <col min="2" max="2" width="31.453125" customWidth="1"/>
    <col min="3" max="4" width="23.81640625" customWidth="1"/>
  </cols>
  <sheetData>
    <row r="1" spans="1:4" x14ac:dyDescent="0.25">
      <c r="A1" s="30"/>
      <c r="B1" s="11"/>
      <c r="C1" s="11"/>
      <c r="D1" s="11"/>
    </row>
    <row r="2" spans="1:4" ht="15.5" x14ac:dyDescent="0.25">
      <c r="A2" s="207" t="str">
        <f>'Seznam ekip'!C1</f>
        <v>Državno prvenstvo U-16 dekleta glavni turnir</v>
      </c>
      <c r="B2" s="207"/>
      <c r="C2" s="207"/>
      <c r="D2" s="207"/>
    </row>
    <row r="3" spans="1:4" x14ac:dyDescent="0.25">
      <c r="A3" s="155"/>
      <c r="B3" s="11"/>
      <c r="C3" s="11"/>
      <c r="D3" s="11"/>
    </row>
    <row r="4" spans="1:4" x14ac:dyDescent="0.25">
      <c r="A4" s="208" t="str">
        <f>'Seznam ekip'!C3</f>
        <v>02.07.2023</v>
      </c>
      <c r="B4" s="208"/>
      <c r="C4" s="208"/>
      <c r="D4" s="208"/>
    </row>
    <row r="5" spans="1:4" ht="13" thickBot="1" x14ac:dyDescent="0.3">
      <c r="A5" s="30"/>
      <c r="B5" s="11"/>
      <c r="C5" s="11"/>
      <c r="D5" s="11"/>
    </row>
    <row r="6" spans="1:4" ht="39" customHeight="1" thickTop="1" thickBot="1" x14ac:dyDescent="0.3">
      <c r="A6" s="156" t="s">
        <v>23</v>
      </c>
      <c r="B6" s="157" t="s">
        <v>24</v>
      </c>
      <c r="C6" s="158" t="s">
        <v>35</v>
      </c>
      <c r="D6" s="159" t="s">
        <v>36</v>
      </c>
    </row>
    <row r="7" spans="1:4" ht="20.149999999999999" customHeight="1" thickTop="1" x14ac:dyDescent="0.25">
      <c r="A7" s="160">
        <v>1</v>
      </c>
      <c r="B7" s="161" t="str">
        <f>IF(Rezultati!$G$33=Rezultati!$I$33,"1. mesto",IF(Rezultati!$G$33&gt;Rezultati!$I$33,Rezultati!$D$33,Rezultati!$F$33))</f>
        <v>Ferdin / Potočnik LUBNIK</v>
      </c>
      <c r="C7" s="162" t="str">
        <f>VLOOKUP(Lestvica!B7,'Seznam ekip'!$K$6:$O$29,2,FALSE)</f>
        <v xml:space="preserve">Ferdin </v>
      </c>
      <c r="D7" s="163" t="str">
        <f>VLOOKUP(Lestvica!B7,'Seznam ekip'!$K$6:$O$29,4,FALSE)</f>
        <v xml:space="preserve">Potočnik LUBNIK </v>
      </c>
    </row>
    <row r="8" spans="1:4" ht="20.149999999999999" customHeight="1" x14ac:dyDescent="0.25">
      <c r="A8" s="164">
        <f>SUM(A7,1)</f>
        <v>2</v>
      </c>
      <c r="B8" s="165" t="str">
        <f>IF(Rezultati!$G$33=Rezultati!$I$33,"2. mesto",IF(Rezultati!$G$33&lt;Rezultati!$I$33,Rezultati!$D$33,Rezultati!$F$33))</f>
        <v>Pintar / Hrovat ŠD LOKA</v>
      </c>
      <c r="C8" s="166" t="str">
        <f>VLOOKUP(Lestvica!B8,'Seznam ekip'!$K$6:$O$29,2,FALSE)</f>
        <v xml:space="preserve">Pintar </v>
      </c>
      <c r="D8" s="167" t="str">
        <f>VLOOKUP(Lestvica!B8,'Seznam ekip'!$K$6:$O$29,4,FALSE)</f>
        <v xml:space="preserve">Hrovat ŠD LOKA </v>
      </c>
    </row>
    <row r="9" spans="1:4" ht="20.149999999999999" customHeight="1" x14ac:dyDescent="0.25">
      <c r="A9" s="164">
        <f>SUM(A8,1)</f>
        <v>3</v>
      </c>
      <c r="B9" s="165" t="str">
        <f>IF(Rezultati!$G$32=Rezultati!$I$32,"3. mesto",IF(Rezultati!$G$32&gt;Rezultati!$I$32,Rezultati!$D$32,Rezultati!$F$32))</f>
        <v>Celarc  / Knep LUDOS</v>
      </c>
      <c r="C9" s="166" t="str">
        <f>VLOOKUP(Lestvica!B9,'Seznam ekip'!$K$6:$O$29,2,FALSE)</f>
        <v xml:space="preserve">Celarc  </v>
      </c>
      <c r="D9" s="167" t="str">
        <f>VLOOKUP(Lestvica!B9,'Seznam ekip'!$K$6:$O$29,4,FALSE)</f>
        <v xml:space="preserve">Knep LUDOS </v>
      </c>
    </row>
    <row r="10" spans="1:4" ht="20.149999999999999" customHeight="1" x14ac:dyDescent="0.25">
      <c r="A10" s="164">
        <f>SUM(A9,1)</f>
        <v>4</v>
      </c>
      <c r="B10" s="165" t="str">
        <f>IF(Rezultati!$G$32=Rezultati!$I$32,"4. mesto",IF(Rezultati!$G$32&lt;Rezultati!$I$32,Rezultati!$D$32,Rezultati!$F$32))</f>
        <v>Kos / Topolovec GROSUPLJE</v>
      </c>
      <c r="C10" s="166" t="str">
        <f>VLOOKUP(Lestvica!B10,'Seznam ekip'!$K$6:$O$29,2,FALSE)</f>
        <v xml:space="preserve">Kos </v>
      </c>
      <c r="D10" s="167" t="str">
        <f>VLOOKUP(Lestvica!B10,'Seznam ekip'!$K$6:$O$29,4,FALSE)</f>
        <v xml:space="preserve">Topolovec GROSUPLJE </v>
      </c>
    </row>
    <row r="11" spans="1:4" ht="20.149999999999999" customHeight="1" x14ac:dyDescent="0.25">
      <c r="A11" s="164">
        <f>SUM(A10,1)</f>
        <v>5</v>
      </c>
      <c r="B11" s="165" t="str">
        <f>IF(Rezultati!$G$28=Rezultati!$I$28,"5. mesto",IF(Rezultati!$G$28&lt;Rezultati!$I$28,Rezultati!$D$28,Rezultati!$F$28))</f>
        <v>Kolar / Lavrič VITAL</v>
      </c>
      <c r="C11" s="166" t="str">
        <f>VLOOKUP(Lestvica!B11,'Seznam ekip'!$K$6:$O$29,2,FALSE)</f>
        <v xml:space="preserve">Kolar </v>
      </c>
      <c r="D11" s="167" t="str">
        <f>VLOOKUP(Lestvica!B11,'Seznam ekip'!$K$6:$O$29,4,FALSE)</f>
        <v xml:space="preserve">Lavrič VITAL </v>
      </c>
    </row>
    <row r="12" spans="1:4" ht="20.149999999999999" customHeight="1" x14ac:dyDescent="0.25">
      <c r="A12" s="164">
        <v>5</v>
      </c>
      <c r="B12" s="165" t="str">
        <f>IF(Rezultati!$G$29=Rezultati!$I$29,"5. mesto",IF(Rezultati!$G$29&lt;Rezultati!$I$29,Rezultati!$D$29,Rezultati!$F$29))</f>
        <v>Bakan / Strle GROSUPLJE</v>
      </c>
      <c r="C12" s="166" t="str">
        <f>VLOOKUP(Lestvica!B12,'Seznam ekip'!$K$6:$O$29,2,FALSE)</f>
        <v xml:space="preserve">Bakan </v>
      </c>
      <c r="D12" s="167" t="str">
        <f>VLOOKUP(Lestvica!B12,'Seznam ekip'!$K$6:$O$29,4,FALSE)</f>
        <v xml:space="preserve">Strle GROSUPLJE </v>
      </c>
    </row>
    <row r="13" spans="1:4" ht="20.149999999999999" customHeight="1" x14ac:dyDescent="0.25">
      <c r="A13" s="160">
        <v>7</v>
      </c>
      <c r="B13" s="161" t="str">
        <f>IF(Rezultati!$G$26=Rezultati!$I$26,"7. mesto",IF(Rezultati!$G$26&lt;Rezultati!$I$26,Rezultati!$D$26,Rezultati!$F$26))</f>
        <v>Pirih / Činku LUBNIK</v>
      </c>
      <c r="C13" s="166" t="str">
        <f>VLOOKUP(Lestvica!B13,'Seznam ekip'!$K$6:$O$29,2,FALSE)</f>
        <v xml:space="preserve">Pirih </v>
      </c>
      <c r="D13" s="167" t="str">
        <f>VLOOKUP(Lestvica!B13,'Seznam ekip'!$K$6:$O$29,4,FALSE)</f>
        <v xml:space="preserve">Činku LUBNIK </v>
      </c>
    </row>
    <row r="14" spans="1:4" ht="20.149999999999999" customHeight="1" x14ac:dyDescent="0.25">
      <c r="A14" s="164">
        <v>7</v>
      </c>
      <c r="B14" s="165" t="str">
        <f>IF(Rezultati!$G$27=Rezultati!$I$27,"7. mesto",IF(Rezultati!$G$27&lt;Rezultati!$I$27,Rezultati!$D$27,Rezultati!$F$27))</f>
        <v>Pšaker / Pražnikar CESTNIK</v>
      </c>
      <c r="C14" s="166" t="str">
        <f>VLOOKUP(Lestvica!B14,'Seznam ekip'!$K$6:$O$29,2,FALSE)</f>
        <v xml:space="preserve">Pšaker </v>
      </c>
      <c r="D14" s="167" t="str">
        <f>VLOOKUP(Lestvica!B14,'Seznam ekip'!$K$6:$O$29,4,FALSE)</f>
        <v xml:space="preserve">Pražnikar CESTNIK </v>
      </c>
    </row>
    <row r="15" spans="1:4" ht="20.149999999999999" customHeight="1" x14ac:dyDescent="0.25">
      <c r="A15" s="164">
        <v>9</v>
      </c>
      <c r="B15" s="165" t="str">
        <f>IF(Rezultati!$G$20=Rezultati!$I$20,"9. mesto",IF(Rezultati!$G$20&lt;Rezultati!$I$20,Rezultati!$D$20,Rezultati!$F$20))</f>
        <v>Šketa Rozman / Rozman CESTNIK</v>
      </c>
      <c r="C15" s="166" t="str">
        <f>VLOOKUP(Lestvica!B15,'Seznam ekip'!$K$6:$O$29,2,FALSE)</f>
        <v xml:space="preserve">Šketa Rozman </v>
      </c>
      <c r="D15" s="167" t="str">
        <f>VLOOKUP(Lestvica!B15,'Seznam ekip'!$K$6:$O$29,4,FALSE)</f>
        <v xml:space="preserve">Rozman CESTNIK </v>
      </c>
    </row>
    <row r="16" spans="1:4" ht="20.149999999999999" customHeight="1" x14ac:dyDescent="0.25">
      <c r="A16" s="164">
        <v>9</v>
      </c>
      <c r="B16" s="165" t="str">
        <f>IF(Rezultati!$G$21=Rezultati!$I$21,"9. mesto",IF(Rezultati!$G$21&lt;Rezultati!$I$21,Rezultati!$D$21,Rezultati!$F$21))</f>
        <v>Šoštarič / Rošer CESTNIK</v>
      </c>
      <c r="C16" s="166" t="str">
        <f>VLOOKUP(Lestvica!B16,'Seznam ekip'!$K$6:$O$29,2,FALSE)</f>
        <v xml:space="preserve">Šoštarič </v>
      </c>
      <c r="D16" s="167" t="str">
        <f>VLOOKUP(Lestvica!B16,'Seznam ekip'!$K$6:$O$29,4,FALSE)</f>
        <v xml:space="preserve">Rošer CESTNIK </v>
      </c>
    </row>
    <row r="17" spans="1:4" ht="20.149999999999999" customHeight="1" x14ac:dyDescent="0.25">
      <c r="A17" s="164">
        <v>9</v>
      </c>
      <c r="B17" s="165" t="str">
        <f>IF(Rezultati!$G$22=Rezultati!$I$22,"9. mesto",IF(Rezultati!$G$22&lt;Rezultati!$I$22,Rezultati!$D$22,Rezultati!$F$22))</f>
        <v>Pečovnik / Ferk BRASLOVČE</v>
      </c>
      <c r="C17" s="166" t="str">
        <f>VLOOKUP(Lestvica!B17,'Seznam ekip'!$K$6:$O$29,2,FALSE)</f>
        <v xml:space="preserve">Pečovnik </v>
      </c>
      <c r="D17" s="167" t="str">
        <f>VLOOKUP(Lestvica!B17,'Seznam ekip'!$K$6:$O$29,4,FALSE)</f>
        <v xml:space="preserve">Ferk BRASLOVČE </v>
      </c>
    </row>
    <row r="18" spans="1:4" ht="20.149999999999999" customHeight="1" x14ac:dyDescent="0.25">
      <c r="A18" s="164">
        <v>9</v>
      </c>
      <c r="B18" s="165" t="str">
        <f>IF(Rezultati!$G$23=Rezultati!$I$23,"9. mesto",IF(Rezultati!$G$23&lt;Rezultati!$I$23,Rezultati!$D$23,Rezultati!$F$23))</f>
        <v>Gorenc Valenta  / Veselko PORTŽ</v>
      </c>
      <c r="C18" s="166" t="str">
        <f>VLOOKUP(Lestvica!B18,'Seznam ekip'!$K$6:$O$29,2,FALSE)</f>
        <v xml:space="preserve">Gorenc Valenta  </v>
      </c>
      <c r="D18" s="167" t="str">
        <f>VLOOKUP(Lestvica!B18,'Seznam ekip'!$K$6:$O$29,4,FALSE)</f>
        <v xml:space="preserve">Veselko PORTŽ </v>
      </c>
    </row>
    <row r="19" spans="1:4" ht="20.149999999999999" customHeight="1" x14ac:dyDescent="0.25">
      <c r="A19" s="164">
        <v>13</v>
      </c>
      <c r="B19" s="165" t="str">
        <f>IF(Rezultati!$G$16=Rezultati!$I$16,"13. mesto",IF(Rezultati!$G$16&lt;Rezultati!$I$16,Rezultati!$D$16,Rezultati!$F$16))</f>
        <v>Prater / Krejan slovenj gradec</v>
      </c>
      <c r="C19" s="166" t="str">
        <f>VLOOKUP(Lestvica!B19,'Seznam ekip'!$K$6:$O$29,2,FALSE)</f>
        <v xml:space="preserve">Prater </v>
      </c>
      <c r="D19" s="167" t="str">
        <f>VLOOKUP(Lestvica!B19,'Seznam ekip'!$K$6:$O$29,4,FALSE)</f>
        <v xml:space="preserve">Krejan slovenj gradec </v>
      </c>
    </row>
    <row r="20" spans="1:4" ht="20.149999999999999" customHeight="1" x14ac:dyDescent="0.25">
      <c r="A20" s="164">
        <v>13</v>
      </c>
      <c r="B20" s="165" t="str">
        <f>IF(Rezultati!$G$17=Rezultati!$I$17,"13. mesto",IF(Rezultati!$G$17&lt;Rezultati!$I$17,Rezultati!$D$17,Rezultati!$F$17))</f>
        <v>Pavlič  / Danyliuk PORTŽ</v>
      </c>
      <c r="C20" s="166" t="str">
        <f>VLOOKUP(Lestvica!B20,'Seznam ekip'!$K$6:$O$29,2,FALSE)</f>
        <v xml:space="preserve">Pavlič  </v>
      </c>
      <c r="D20" s="167" t="str">
        <f>VLOOKUP(Lestvica!B20,'Seznam ekip'!$K$6:$O$29,4,FALSE)</f>
        <v xml:space="preserve">Danyliuk PORTŽ </v>
      </c>
    </row>
    <row r="21" spans="1:4" ht="20.149999999999999" customHeight="1" x14ac:dyDescent="0.25">
      <c r="A21" s="164">
        <v>13</v>
      </c>
      <c r="B21" s="165" t="str">
        <f>IF(Rezultati!$G$18=Rezultati!$I$18,"13. mesto",IF(Rezultati!$G$18&lt;Rezultati!$I$18,Rezultati!$D$18,Rezultati!$F$18))</f>
        <v>Torej / Halilovič PORTŽ</v>
      </c>
      <c r="C21" s="166" t="str">
        <f>VLOOKUP(Lestvica!B21,'Seznam ekip'!$K$6:$O$29,2,FALSE)</f>
        <v xml:space="preserve">Torej </v>
      </c>
      <c r="D21" s="167" t="str">
        <f>VLOOKUP(Lestvica!B21,'Seznam ekip'!$K$6:$O$29,4,FALSE)</f>
        <v xml:space="preserve">Halilovič PORTŽ </v>
      </c>
    </row>
    <row r="22" spans="1:4" ht="20.149999999999999" customHeight="1" thickBot="1" x14ac:dyDescent="0.3">
      <c r="A22" s="168">
        <v>13</v>
      </c>
      <c r="B22" s="169" t="str">
        <f>IF(Rezultati!$G$19=Rezultati!$I$19,"13. mesto",IF(Rezultati!$G$19&lt;Rezultati!$I$19,Rezultati!$D$19,Rezultati!$F$19))</f>
        <v>Reflak / Kim Kilar VITAL</v>
      </c>
      <c r="C22" s="170" t="str">
        <f>VLOOKUP(Lestvica!B22,'Seznam ekip'!$K$6:$O$29,2,FALSE)</f>
        <v xml:space="preserve">Reflak </v>
      </c>
      <c r="D22" s="171" t="str">
        <f>VLOOKUP(Lestvica!B22,'Seznam ekip'!$K$6:$O$29,4,FALSE)</f>
        <v xml:space="preserve">Kim Kilar VITAL </v>
      </c>
    </row>
    <row r="23" spans="1:4" ht="13" thickTop="1" x14ac:dyDescent="0.25">
      <c r="A23" s="30"/>
      <c r="B23" s="11"/>
      <c r="C23" s="11"/>
      <c r="D23" s="11"/>
    </row>
  </sheetData>
  <sheetProtection password="F7CF" sheet="1" selectLockedCells="1"/>
  <mergeCells count="2">
    <mergeCell ref="A2:D2"/>
    <mergeCell ref="A4:D4"/>
  </mergeCells>
  <phoneticPr fontId="0" type="noConversion"/>
  <printOptions horizontalCentered="1"/>
  <pageMargins left="0.74803149606299213" right="0.74803149606299213" top="1.05" bottom="0.98425196850393704" header="0.51181102362204722" footer="0.51181102362204722"/>
  <pageSetup paperSize="9" orientation="portrait" horizontalDpi="4294967292" verticalDpi="4294967292" r:id="rId1"/>
  <headerFooter alignWithMargins="0">
    <oddHeader>&amp;C&amp;16KONČNI VRSTNI RED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"/>
  <dimension ref="A1:L36"/>
  <sheetViews>
    <sheetView workbookViewId="0">
      <selection activeCell="N8" sqref="N8"/>
    </sheetView>
  </sheetViews>
  <sheetFormatPr defaultRowHeight="12.5" x14ac:dyDescent="0.25"/>
  <cols>
    <col min="1" max="1" width="4.54296875" customWidth="1"/>
    <col min="2" max="2" width="21.54296875" style="8" customWidth="1"/>
    <col min="3" max="3" width="11.54296875" customWidth="1"/>
    <col min="6" max="6" width="14.81640625" customWidth="1"/>
  </cols>
  <sheetData>
    <row r="1" spans="1:12" s="9" customFormat="1" ht="15.5" x14ac:dyDescent="0.35">
      <c r="A1" s="209" t="str">
        <f>'Seznam ekip'!C1</f>
        <v>Državno prvenstvo U-16 dekleta glavni turnir</v>
      </c>
      <c r="B1" s="209"/>
      <c r="C1" s="209"/>
      <c r="D1" s="209"/>
      <c r="E1" s="173"/>
      <c r="F1" s="174" t="str">
        <f>'Seznam ekip'!C3</f>
        <v>02.07.2023</v>
      </c>
      <c r="G1" s="173"/>
      <c r="H1" s="173"/>
      <c r="I1" s="173"/>
      <c r="J1" s="173"/>
      <c r="K1" s="173"/>
    </row>
    <row r="2" spans="1:12" s="9" customFormat="1" ht="15.5" x14ac:dyDescent="0.35">
      <c r="A2" s="172"/>
      <c r="B2" s="172"/>
      <c r="C2" s="12" t="str">
        <f>IF(F2="C",2,IF(F2="U17",2,IF(F2="U19",3,IF(F2="U21",3,IF(F2="B",4,IF(F2="A",5,IF(F2="D",1,"napaka")))))))</f>
        <v>napaka</v>
      </c>
      <c r="D2" s="172" t="s">
        <v>37</v>
      </c>
      <c r="E2" s="173"/>
      <c r="F2" s="172">
        <f>'Seznam ekip'!I1</f>
        <v>0</v>
      </c>
      <c r="G2" s="173"/>
      <c r="H2" s="173"/>
      <c r="I2" s="173"/>
      <c r="J2" s="173"/>
      <c r="K2" s="173"/>
    </row>
    <row r="3" spans="1:12" s="9" customFormat="1" ht="15.5" x14ac:dyDescent="0.35">
      <c r="A3" s="172"/>
      <c r="B3" s="172"/>
      <c r="C3" s="172"/>
      <c r="D3" s="172"/>
      <c r="E3" s="173"/>
      <c r="F3" s="172"/>
      <c r="G3" s="173"/>
      <c r="H3" s="173"/>
      <c r="I3" s="173"/>
      <c r="J3" s="173"/>
      <c r="K3" s="173"/>
    </row>
    <row r="4" spans="1:12" x14ac:dyDescent="0.25">
      <c r="A4" s="11"/>
      <c r="B4" s="10"/>
      <c r="C4" s="11"/>
      <c r="D4" s="11"/>
      <c r="E4" s="11"/>
      <c r="F4" s="11"/>
      <c r="G4" s="175"/>
      <c r="H4" s="175"/>
      <c r="I4" s="176" t="s">
        <v>67</v>
      </c>
      <c r="J4" s="175"/>
      <c r="K4" s="175"/>
      <c r="L4" s="175"/>
    </row>
    <row r="5" spans="1:12" x14ac:dyDescent="0.25">
      <c r="A5" s="177" t="s">
        <v>38</v>
      </c>
      <c r="B5" s="10" t="str">
        <f>VLOOKUP(Lestvica!B7,'Seznam ekip'!$K$6:$O$29,2,FALSE)</f>
        <v xml:space="preserve">Ferdin </v>
      </c>
      <c r="C5" s="178">
        <f>VLOOKUP(Lestvica!B7,'Seznam ekip'!$K$6:$O$29,3,FALSE)</f>
        <v>0</v>
      </c>
      <c r="D5" s="11" t="str">
        <f>IF(C$2=1,H6,IF(C2=2,I6,IF(C2=3,J6,IF(C2=4,K6,IF(C2=5,L6,"napaka")))))</f>
        <v>napaka</v>
      </c>
      <c r="E5" s="11"/>
      <c r="F5" s="11"/>
      <c r="G5" s="176"/>
      <c r="H5" s="176" t="s">
        <v>65</v>
      </c>
      <c r="I5" s="176" t="s">
        <v>39</v>
      </c>
      <c r="J5" s="176" t="s">
        <v>68</v>
      </c>
      <c r="K5" s="176" t="s">
        <v>40</v>
      </c>
      <c r="L5" s="176" t="s">
        <v>41</v>
      </c>
    </row>
    <row r="6" spans="1:12" x14ac:dyDescent="0.25">
      <c r="A6" s="11"/>
      <c r="B6" s="10" t="str">
        <f>VLOOKUP(Lestvica!B7,'Seznam ekip'!$K$6:$O$29,4,FALSE)</f>
        <v xml:space="preserve">Potočnik LUBNIK </v>
      </c>
      <c r="C6" s="178" t="str">
        <f>VLOOKUP(Lestvica!B7,'Seznam ekip'!$K$6:$O$29,5,FALSE)</f>
        <v>KOKTEJL LJUBAVI</v>
      </c>
      <c r="D6" s="11" t="str">
        <f>IF(C$2=1,H6,IF(C$2=2,I6,IF(C$2=3,J6,IF(C$2=4,K6,IF(C$2=5,L6,"napaka")))))</f>
        <v>napaka</v>
      </c>
      <c r="E6" s="11"/>
      <c r="F6" s="11"/>
      <c r="G6" s="179" t="s">
        <v>42</v>
      </c>
      <c r="H6" s="197">
        <v>30</v>
      </c>
      <c r="I6" s="198">
        <v>70</v>
      </c>
      <c r="J6" s="198">
        <v>100</v>
      </c>
      <c r="K6" s="198">
        <v>150</v>
      </c>
      <c r="L6" s="197">
        <v>250</v>
      </c>
    </row>
    <row r="7" spans="1:12" x14ac:dyDescent="0.25">
      <c r="A7" s="177" t="s">
        <v>43</v>
      </c>
      <c r="B7" s="10" t="str">
        <f>VLOOKUP(Lestvica!B8,'Seznam ekip'!$K$6:$O$29,2,FALSE)</f>
        <v xml:space="preserve">Pintar </v>
      </c>
      <c r="C7" s="178">
        <f>VLOOKUP(Lestvica!B8,'Seznam ekip'!$K$6:$O$29,3,FALSE)</f>
        <v>0</v>
      </c>
      <c r="D7" s="11" t="str">
        <f>IF(C$2=1,H7,IF(C$2=2,I7,IF(C$2=3,J7,IF(C$2=4,K7,IF(C$2=5,L7,"napaka")))))</f>
        <v>napaka</v>
      </c>
      <c r="E7" s="11"/>
      <c r="F7" s="11"/>
      <c r="G7" s="179" t="s">
        <v>44</v>
      </c>
      <c r="H7" s="197">
        <v>25</v>
      </c>
      <c r="I7" s="198">
        <v>55</v>
      </c>
      <c r="J7" s="198">
        <v>85</v>
      </c>
      <c r="K7" s="198">
        <v>130</v>
      </c>
      <c r="L7" s="197">
        <v>220</v>
      </c>
    </row>
    <row r="8" spans="1:12" x14ac:dyDescent="0.25">
      <c r="A8" s="11"/>
      <c r="B8" s="10" t="str">
        <f>VLOOKUP(Lestvica!B8,'Seznam ekip'!$K$6:$O$29,4,FALSE)</f>
        <v xml:space="preserve">Hrovat ŠD LOKA </v>
      </c>
      <c r="C8" s="178" t="str">
        <f>VLOOKUP(Lestvica!B8,'Seznam ekip'!$K$6:$O$29,5,FALSE)</f>
        <v>https://www.youtube.com/watch?v=Kq4OtRsdXls</v>
      </c>
      <c r="D8" s="11" t="str">
        <f>IF(C$2=1,H7,IF(C$2=2,I7,IF(C$2=3,J7,IF(C$2=4,K7,IF(C$2=5,L7,"napaka")))))</f>
        <v>napaka</v>
      </c>
      <c r="E8" s="11"/>
      <c r="F8" s="11"/>
      <c r="G8" s="179" t="s">
        <v>45</v>
      </c>
      <c r="H8" s="197">
        <v>21</v>
      </c>
      <c r="I8" s="198">
        <v>45</v>
      </c>
      <c r="J8" s="198">
        <v>70</v>
      </c>
      <c r="K8" s="198">
        <v>110</v>
      </c>
      <c r="L8" s="197">
        <v>190</v>
      </c>
    </row>
    <row r="9" spans="1:12" x14ac:dyDescent="0.25">
      <c r="A9" s="177" t="s">
        <v>46</v>
      </c>
      <c r="B9" s="10" t="str">
        <f>VLOOKUP(Lestvica!B9,'Seznam ekip'!$K$6:$O$29,2,FALSE)</f>
        <v xml:space="preserve">Celarc  </v>
      </c>
      <c r="C9" s="178">
        <f>VLOOKUP(Lestvica!B9,'Seznam ekip'!$K$6:$O$29,3,FALSE)</f>
        <v>0</v>
      </c>
      <c r="D9" s="11" t="str">
        <f>IF(C$2=1,H8,IF(C$2=2,I8,IF(C$2=3,J8,IF(C$2=4,K8,IF(C$2=5,L8,"napaka")))))</f>
        <v>napaka</v>
      </c>
      <c r="E9" s="11"/>
      <c r="F9" s="11"/>
      <c r="G9" s="179" t="s">
        <v>47</v>
      </c>
      <c r="H9" s="197">
        <v>17</v>
      </c>
      <c r="I9" s="198">
        <v>35</v>
      </c>
      <c r="J9" s="198">
        <v>55</v>
      </c>
      <c r="K9" s="198">
        <v>90</v>
      </c>
      <c r="L9" s="197">
        <v>160</v>
      </c>
    </row>
    <row r="10" spans="1:12" x14ac:dyDescent="0.25">
      <c r="A10" s="11"/>
      <c r="B10" s="10" t="str">
        <f>VLOOKUP(Lestvica!B9,'Seznam ekip'!$K$6:$O$29,4,FALSE)</f>
        <v xml:space="preserve">Knep LUDOS </v>
      </c>
      <c r="C10" s="178" t="str">
        <f>VLOOKUP(Lestvica!B9,'Seznam ekip'!$K$6:$O$29,5,FALSE)</f>
        <v xml:space="preserve">OVE GODINE </v>
      </c>
      <c r="D10" s="11" t="str">
        <f>IF(C$2=1,H8,IF(C$2=2,I8,IF(C$2=3,J8,IF(C$2=4,K8,IF(C$2=5,L8,"napaka")))))</f>
        <v>napaka</v>
      </c>
      <c r="E10" s="11"/>
      <c r="F10" s="11"/>
      <c r="G10" s="179" t="s">
        <v>48</v>
      </c>
      <c r="H10" s="197">
        <v>13</v>
      </c>
      <c r="I10" s="198">
        <v>25</v>
      </c>
      <c r="J10" s="198">
        <v>40</v>
      </c>
      <c r="K10" s="198">
        <v>75</v>
      </c>
      <c r="L10" s="197">
        <v>130</v>
      </c>
    </row>
    <row r="11" spans="1:12" x14ac:dyDescent="0.25">
      <c r="A11" s="177" t="s">
        <v>49</v>
      </c>
      <c r="B11" s="10" t="str">
        <f>VLOOKUP(Lestvica!B10,'Seznam ekip'!$K$6:$O$29,2,FALSE)</f>
        <v xml:space="preserve">Kos </v>
      </c>
      <c r="C11" s="178">
        <f>VLOOKUP(Lestvica!B10,'Seznam ekip'!$K$6:$O$29,3,FALSE)</f>
        <v>0</v>
      </c>
      <c r="D11" s="11" t="str">
        <f>IF(C$2=1,H9,IF(C$2=2,I9,IF(C$2=3,J9,IF(C$2=4,K9,IF(C$2=5,L9,"napaka")))))</f>
        <v>napaka</v>
      </c>
      <c r="E11" s="11"/>
      <c r="F11" s="11"/>
      <c r="G11" s="179" t="s">
        <v>50</v>
      </c>
      <c r="H11" s="197">
        <v>10</v>
      </c>
      <c r="I11" s="198">
        <v>15</v>
      </c>
      <c r="J11" s="198">
        <v>35</v>
      </c>
      <c r="K11" s="198">
        <v>50</v>
      </c>
      <c r="L11" s="197">
        <v>100</v>
      </c>
    </row>
    <row r="12" spans="1:12" x14ac:dyDescent="0.25">
      <c r="A12" s="11"/>
      <c r="B12" s="10" t="str">
        <f>VLOOKUP(Lestvica!B10,'Seznam ekip'!$K$6:$O$29,4,FALSE)</f>
        <v xml:space="preserve">Topolovec GROSUPLJE </v>
      </c>
      <c r="C12" s="178" t="str">
        <f>VLOOKUP(Lestvica!B10,'Seznam ekip'!$K$6:$O$29,5,FALSE)</f>
        <v>AC DC</v>
      </c>
      <c r="D12" s="11" t="str">
        <f>IF(C$2=1,H9,IF(C$2=2,I9,IF(C$2=3,J9,IF(C$2=4,K9,IF(C$2=5,L9,"napaka")))))</f>
        <v>napaka</v>
      </c>
      <c r="E12" s="11"/>
      <c r="F12" s="11"/>
      <c r="G12" s="179" t="s">
        <v>51</v>
      </c>
      <c r="H12" s="197">
        <v>7</v>
      </c>
      <c r="I12" s="198">
        <v>10</v>
      </c>
      <c r="J12" s="198">
        <v>20</v>
      </c>
      <c r="K12" s="198">
        <v>30</v>
      </c>
      <c r="L12" s="197">
        <v>70</v>
      </c>
    </row>
    <row r="13" spans="1:12" x14ac:dyDescent="0.25">
      <c r="A13" s="177" t="s">
        <v>52</v>
      </c>
      <c r="B13" s="10" t="str">
        <f>VLOOKUP(Lestvica!B11,'Seznam ekip'!$K$6:$O$29,2,FALSE)</f>
        <v xml:space="preserve">Kolar </v>
      </c>
      <c r="C13" s="178">
        <f>VLOOKUP(Lestvica!B11,'Seznam ekip'!$K$6:$O$29,3,FALSE)</f>
        <v>0</v>
      </c>
      <c r="D13" s="11" t="str">
        <f>IF(C$2=1,H10,IF(C$2=2,I10,IF(C$2=3,J10,IF(C$2=4,K10,IF(C$2=5,L10,"napaka")))))</f>
        <v>napaka</v>
      </c>
      <c r="E13" s="11"/>
      <c r="F13" s="11"/>
      <c r="G13" s="179" t="s">
        <v>53</v>
      </c>
      <c r="H13" s="197">
        <v>3</v>
      </c>
      <c r="I13" s="198">
        <v>5</v>
      </c>
      <c r="J13" s="198">
        <v>10</v>
      </c>
      <c r="K13" s="198">
        <v>15</v>
      </c>
      <c r="L13" s="197">
        <v>40</v>
      </c>
    </row>
    <row r="14" spans="1:12" x14ac:dyDescent="0.25">
      <c r="A14" s="11"/>
      <c r="B14" s="10" t="str">
        <f>VLOOKUP(Lestvica!B11,'Seznam ekip'!$K$6:$O$29,4,FALSE)</f>
        <v xml:space="preserve">Lavrič VITAL </v>
      </c>
      <c r="C14" s="178" t="str">
        <f>VLOOKUP(Lestvica!B11,'Seznam ekip'!$K$6:$O$29,5,FALSE)</f>
        <v>GOLICA</v>
      </c>
      <c r="D14" s="11" t="str">
        <f>IF(C$2=1,H10,IF(C$2=2,I10,IF(C$2=3,J10,IF(C$2=4,K10,IF(C$2=5,L10,"napaka")))))</f>
        <v>napaka</v>
      </c>
      <c r="E14" s="11"/>
      <c r="F14" s="11"/>
      <c r="G14" s="179" t="s">
        <v>54</v>
      </c>
      <c r="H14" s="179"/>
      <c r="I14" s="198"/>
      <c r="J14" s="198">
        <v>5</v>
      </c>
      <c r="K14" s="198">
        <v>5</v>
      </c>
      <c r="L14" s="197">
        <v>20</v>
      </c>
    </row>
    <row r="15" spans="1:12" x14ac:dyDescent="0.25">
      <c r="A15" s="11"/>
      <c r="B15" s="10" t="str">
        <f>VLOOKUP(Lestvica!B12,'Seznam ekip'!$K$6:$O$29,2,FALSE)</f>
        <v xml:space="preserve">Bakan </v>
      </c>
      <c r="C15" s="178">
        <f>VLOOKUP(Lestvica!B12,'Seznam ekip'!$K$6:$O$29,3,FALSE)</f>
        <v>0</v>
      </c>
      <c r="D15" s="11" t="str">
        <f>IF(C$2=1,H10,IF(C$2=2,I10,IF(C$2=3,J10,IF(C$2=4,K10,IF(C$2=5,L10,"napaka")))))</f>
        <v>napaka</v>
      </c>
      <c r="E15" s="11"/>
      <c r="F15" s="11"/>
      <c r="G15" s="179" t="s">
        <v>55</v>
      </c>
      <c r="H15" s="179"/>
      <c r="I15" s="198"/>
      <c r="J15" s="198"/>
      <c r="K15" s="198"/>
      <c r="L15" s="197">
        <v>10</v>
      </c>
    </row>
    <row r="16" spans="1:12" x14ac:dyDescent="0.25">
      <c r="A16" s="11"/>
      <c r="B16" s="10" t="str">
        <f>VLOOKUP(Lestvica!B12,'Seznam ekip'!$K$6:$O$29,4,FALSE)</f>
        <v xml:space="preserve">Strle GROSUPLJE </v>
      </c>
      <c r="C16" s="178" t="str">
        <f>VLOOKUP(Lestvica!B12,'Seznam ekip'!$K$6:$O$29,5,FALSE)</f>
        <v>tarapana</v>
      </c>
      <c r="D16" s="11" t="str">
        <f>IF(C$2=1,H10,IF(C$2=2,I10,IF(C$2=3,J10,IF(C$2=4,K10,IF(C$2=5,L10,"napaka")))))</f>
        <v>napaka</v>
      </c>
      <c r="E16" s="11"/>
      <c r="F16" s="11"/>
      <c r="G16" s="179" t="s">
        <v>56</v>
      </c>
      <c r="H16" s="179"/>
      <c r="I16" s="198"/>
      <c r="J16" s="198"/>
      <c r="K16" s="198"/>
      <c r="L16" s="197">
        <v>5</v>
      </c>
    </row>
    <row r="17" spans="1:11" x14ac:dyDescent="0.25">
      <c r="A17" s="177" t="s">
        <v>57</v>
      </c>
      <c r="B17" s="10" t="str">
        <f>VLOOKUP(Lestvica!B13,'Seznam ekip'!$K$6:$O$29,2,FALSE)</f>
        <v xml:space="preserve">Pirih </v>
      </c>
      <c r="C17" s="178">
        <f>VLOOKUP(Lestvica!B13,'Seznam ekip'!$K$6:$O$29,3,FALSE)</f>
        <v>0</v>
      </c>
      <c r="D17" s="11" t="str">
        <f>IF(C$2=1,H11,IF(C$2=2,I11,IF(C$2=3,J11,IF(C$2=4,K11,IF(C$2=5,L11,"napaka")))))</f>
        <v>napaka</v>
      </c>
      <c r="E17" s="11"/>
      <c r="F17" s="11"/>
      <c r="G17" s="180"/>
      <c r="H17" s="180"/>
      <c r="I17" s="180"/>
      <c r="J17" s="181"/>
      <c r="K17" s="11"/>
    </row>
    <row r="18" spans="1:11" x14ac:dyDescent="0.25">
      <c r="A18" s="11"/>
      <c r="B18" s="10" t="str">
        <f>VLOOKUP(Lestvica!B13,'Seznam ekip'!$K$6:$O$29,4,FALSE)</f>
        <v xml:space="preserve">Činku LUBNIK </v>
      </c>
      <c r="C18" s="178" t="str">
        <f>VLOOKUP(Lestvica!B13,'Seznam ekip'!$K$6:$O$29,5,FALSE)</f>
        <v>SUMMER</v>
      </c>
      <c r="D18" s="11" t="str">
        <f>IF(C$2=1,H11,IF(C$2=2,I11,IF(C$2=3,J11,IF(C$2=4,K11,IF(C$2=5,L11,"napaka")))))</f>
        <v>napaka</v>
      </c>
      <c r="E18" s="11"/>
      <c r="F18" s="11"/>
      <c r="G18" s="11"/>
      <c r="H18" s="11"/>
      <c r="I18" s="11"/>
      <c r="J18" s="11"/>
      <c r="K18" s="11"/>
    </row>
    <row r="19" spans="1:11" x14ac:dyDescent="0.25">
      <c r="A19" s="11"/>
      <c r="B19" s="10" t="str">
        <f>VLOOKUP(Lestvica!B14,'Seznam ekip'!$K$6:$O$29,2,FALSE)</f>
        <v xml:space="preserve">Pšaker </v>
      </c>
      <c r="C19" s="178">
        <f>VLOOKUP(Lestvica!B14,'Seznam ekip'!$K$6:$O$29,3,FALSE)</f>
        <v>0</v>
      </c>
      <c r="D19" s="11" t="str">
        <f>IF(C$2=1,H11,IF(C$2=2,I11,IF(C$2=3,J11,IF(C$2=4,K11,IF(C$2=5,L11,"napaka")))))</f>
        <v>napaka</v>
      </c>
      <c r="E19" s="11"/>
      <c r="F19" s="11"/>
      <c r="G19" s="11"/>
      <c r="H19" s="11"/>
      <c r="I19" s="11"/>
      <c r="J19" s="11"/>
      <c r="K19" s="11"/>
    </row>
    <row r="20" spans="1:11" x14ac:dyDescent="0.25">
      <c r="A20" s="11"/>
      <c r="B20" s="10" t="str">
        <f>VLOOKUP(Lestvica!B14,'Seznam ekip'!$K$6:$O$29,4,FALSE)</f>
        <v xml:space="preserve">Pražnikar CESTNIK </v>
      </c>
      <c r="C20" s="178" t="str">
        <f>VLOOKUP(Lestvica!B14,'Seznam ekip'!$K$6:$O$29,5,FALSE)</f>
        <v>DANES JE MOJ DAN</v>
      </c>
      <c r="D20" s="11" t="str">
        <f>IF(C$2=1,H11,IF(C$2=2,I11,IF(C$2=3,J11,IF(C$2=4,K11,IF(C$2=5,L11,"napaka")))))</f>
        <v>napaka</v>
      </c>
      <c r="E20" s="11"/>
      <c r="F20" s="11"/>
      <c r="G20" s="11"/>
      <c r="H20" s="11"/>
      <c r="I20" s="11"/>
      <c r="J20" s="11"/>
      <c r="K20" s="11"/>
    </row>
    <row r="21" spans="1:11" x14ac:dyDescent="0.25">
      <c r="A21" s="177" t="s">
        <v>58</v>
      </c>
      <c r="B21" s="10" t="str">
        <f>VLOOKUP(Lestvica!B15,'Seznam ekip'!$K$6:$O$29,2,FALSE)</f>
        <v xml:space="preserve">Šketa Rozman </v>
      </c>
      <c r="C21" s="178">
        <f>VLOOKUP(Lestvica!B15,'Seznam ekip'!$K$6:$O$29,3,FALSE)</f>
        <v>0</v>
      </c>
      <c r="D21" s="11" t="str">
        <f>IF(C$2=1,H12,IF(C$2=2,I12,IF(C$2=3,J12,IF(C$2=4,K12,IF(C$2=5,L12,"napaka")))))</f>
        <v>napaka</v>
      </c>
      <c r="E21" s="11"/>
      <c r="F21" s="11"/>
      <c r="G21" s="11"/>
      <c r="H21" s="11"/>
      <c r="I21" s="11"/>
      <c r="J21" s="11"/>
      <c r="K21" s="11"/>
    </row>
    <row r="22" spans="1:11" x14ac:dyDescent="0.25">
      <c r="A22" s="11"/>
      <c r="B22" s="10" t="str">
        <f>VLOOKUP(Lestvica!B15,'Seznam ekip'!$K$6:$O$29,4,FALSE)</f>
        <v xml:space="preserve">Rozman CESTNIK </v>
      </c>
      <c r="C22" s="178" t="str">
        <f>VLOOKUP(Lestvica!B15,'Seznam ekip'!$K$6:$O$29,5,FALSE)</f>
        <v>GAJBA PUNA PIVA</v>
      </c>
      <c r="D22" s="11" t="str">
        <f>IF(C$2=1,H12,IF(C$2=2,I12,IF(C$2=3,J12,IF(C$2=4,K12,IF(C$2=5,L12,"napaka")))))</f>
        <v>napaka</v>
      </c>
      <c r="E22" s="11"/>
      <c r="F22" s="11"/>
      <c r="G22" s="11"/>
      <c r="H22" s="11"/>
      <c r="I22" s="11"/>
      <c r="J22" s="11"/>
      <c r="K22" s="11"/>
    </row>
    <row r="23" spans="1:11" x14ac:dyDescent="0.25">
      <c r="A23" s="11"/>
      <c r="B23" s="10" t="str">
        <f>VLOOKUP(Lestvica!B16,'Seznam ekip'!$K$6:$O$29,2,FALSE)</f>
        <v xml:space="preserve">Šoštarič </v>
      </c>
      <c r="C23" s="178">
        <f>VLOOKUP(Lestvica!B16,'Seznam ekip'!$K$6:$O$29,3,FALSE)</f>
        <v>0</v>
      </c>
      <c r="D23" s="11" t="str">
        <f>IF(C$2=1,H12,IF(C$2=2,I12,IF(C$2=3,J12,IF(C$2=4,K12,IF(C$2=5,L12,"napaka")))))</f>
        <v>napaka</v>
      </c>
      <c r="E23" s="11"/>
      <c r="F23" s="11"/>
      <c r="G23" s="11"/>
      <c r="H23" s="11"/>
      <c r="I23" s="11"/>
      <c r="J23" s="11"/>
      <c r="K23" s="11"/>
    </row>
    <row r="24" spans="1:11" x14ac:dyDescent="0.25">
      <c r="A24" s="11"/>
      <c r="B24" s="10" t="str">
        <f>VLOOKUP(Lestvica!B16,'Seznam ekip'!$K$6:$O$29,4,FALSE)</f>
        <v xml:space="preserve">Rošer CESTNIK </v>
      </c>
      <c r="C24" s="178">
        <f>VLOOKUP(Lestvica!B16,'Seznam ekip'!$K$6:$O$29,5,FALSE)</f>
        <v>0</v>
      </c>
      <c r="D24" s="11" t="str">
        <f>IF(C$2=1,H12,IF(C$2=2,I12,IF(C$2=3,J12,IF(C$2=4,K12,IF(C$2=5,L12,"napaka")))))</f>
        <v>napaka</v>
      </c>
      <c r="E24" s="11"/>
      <c r="F24" s="11"/>
      <c r="G24" s="11"/>
      <c r="H24" s="11"/>
      <c r="I24" s="11"/>
      <c r="J24" s="11"/>
      <c r="K24" s="11"/>
    </row>
    <row r="25" spans="1:11" x14ac:dyDescent="0.25">
      <c r="A25" s="11"/>
      <c r="B25" s="10" t="str">
        <f>VLOOKUP(Lestvica!B17,'Seznam ekip'!$K$6:$O$29,2,FALSE)</f>
        <v xml:space="preserve">Pečovnik </v>
      </c>
      <c r="C25" s="178">
        <f>VLOOKUP(Lestvica!B17,'Seznam ekip'!$K$6:$O$29,3,FALSE)</f>
        <v>0</v>
      </c>
      <c r="D25" s="11" t="str">
        <f>IF(C$2=1,H12,IF(C$2=2,I12,IF(C$2=3,J12,IF(C$2=4,K12,IF(C$2=5,L12,"napaka")))))</f>
        <v>napaka</v>
      </c>
      <c r="E25" s="11"/>
      <c r="F25" s="11"/>
      <c r="G25" s="11"/>
      <c r="H25" s="11"/>
      <c r="I25" s="11"/>
      <c r="J25" s="11"/>
      <c r="K25" s="11"/>
    </row>
    <row r="26" spans="1:11" x14ac:dyDescent="0.25">
      <c r="A26" s="11"/>
      <c r="B26" s="10" t="str">
        <f>VLOOKUP(Lestvica!B17,'Seznam ekip'!$K$6:$O$29,4,FALSE)</f>
        <v xml:space="preserve">Ferk BRASLOVČE </v>
      </c>
      <c r="C26" s="178" t="str">
        <f>VLOOKUP(Lestvica!B17,'Seznam ekip'!$K$6:$O$29,5,FALSE)</f>
        <v>SOBA 102</v>
      </c>
      <c r="D26" s="11" t="str">
        <f>IF(C$2=1,H12,IF(C$2=2,I12,IF(C$2=3,J12,IF(C$2=4,K12,IF(C$2=5,L12,"napaka")))))</f>
        <v>napaka</v>
      </c>
      <c r="E26" s="11"/>
      <c r="F26" s="11"/>
      <c r="G26" s="11"/>
      <c r="H26" s="11"/>
      <c r="I26" s="11"/>
      <c r="J26" s="11"/>
      <c r="K26" s="11"/>
    </row>
    <row r="27" spans="1:11" x14ac:dyDescent="0.25">
      <c r="A27" s="11"/>
      <c r="B27" s="10" t="str">
        <f>VLOOKUP(Lestvica!B18,'Seznam ekip'!$K$6:$O$29,2,FALSE)</f>
        <v xml:space="preserve">Gorenc Valenta  </v>
      </c>
      <c r="C27" s="178">
        <f>VLOOKUP(Lestvica!B18,'Seznam ekip'!$K$6:$O$29,3,FALSE)</f>
        <v>0</v>
      </c>
      <c r="D27" s="11" t="str">
        <f>IF(C$2=1,H12,IF(C$2=2,I12,IF(C$2=3,J12,IF(C$2=4,K12,IF(C$2=5,L12,"napaka")))))</f>
        <v>napaka</v>
      </c>
      <c r="E27" s="11"/>
      <c r="F27" s="11"/>
      <c r="G27" s="11"/>
      <c r="H27" s="11"/>
      <c r="I27" s="11"/>
      <c r="J27" s="11"/>
      <c r="K27" s="11"/>
    </row>
    <row r="28" spans="1:11" x14ac:dyDescent="0.25">
      <c r="A28" s="11"/>
      <c r="B28" s="10" t="str">
        <f>VLOOKUP(Lestvica!B18,'Seznam ekip'!$K$6:$O$29,4,FALSE)</f>
        <v xml:space="preserve">Veselko PORTŽ </v>
      </c>
      <c r="C28" s="178" t="str">
        <f>VLOOKUP(Lestvica!B18,'Seznam ekip'!$K$6:$O$29,5,FALSE)</f>
        <v>shakira</v>
      </c>
      <c r="D28" s="11" t="str">
        <f>IF(C$2=1,H12,IF(C$2=2,I12,IF(C$2=3,J12,IF(C$2=4,K12,IF(C$2=5,L12,"napaka")))))</f>
        <v>napaka</v>
      </c>
      <c r="E28" s="11"/>
      <c r="F28" s="11"/>
      <c r="G28" s="11"/>
      <c r="H28" s="11"/>
      <c r="I28" s="11"/>
      <c r="J28" s="11"/>
      <c r="K28" s="11"/>
    </row>
    <row r="29" spans="1:11" x14ac:dyDescent="0.25">
      <c r="A29" s="177" t="s">
        <v>59</v>
      </c>
      <c r="B29" s="10" t="str">
        <f>VLOOKUP(Lestvica!B19,'Seznam ekip'!$K$6:$O$29,2,FALSE)</f>
        <v xml:space="preserve">Prater </v>
      </c>
      <c r="C29" s="178">
        <f>VLOOKUP(Lestvica!B19,'Seznam ekip'!$K$6:$O$29,3,FALSE)</f>
        <v>0</v>
      </c>
      <c r="D29" s="11" t="str">
        <f>IF(C$2=1,H13,IF(C$2=2,I13,IF(C$2=3,J13,IF(C$2=4,K13,IF(C$2=5,L13,"napaka")))))</f>
        <v>napaka</v>
      </c>
      <c r="E29" s="11"/>
      <c r="F29" s="11"/>
      <c r="G29" s="11"/>
      <c r="H29" s="11"/>
      <c r="I29" s="11"/>
      <c r="J29" s="11"/>
      <c r="K29" s="11"/>
    </row>
    <row r="30" spans="1:11" x14ac:dyDescent="0.25">
      <c r="A30" s="11"/>
      <c r="B30" s="10" t="str">
        <f>VLOOKUP(Lestvica!B19,'Seznam ekip'!$K$6:$O$29,4,FALSE)</f>
        <v xml:space="preserve">Krejan slovenj gradec </v>
      </c>
      <c r="C30" s="178" t="str">
        <f>VLOOKUP(Lestvica!B19,'Seznam ekip'!$K$6:$O$29,5,FALSE)</f>
        <v>cigu migu</v>
      </c>
      <c r="D30" s="11" t="str">
        <f>IF(C$2=1,H13,IF(C$2=2,I13,IF(C$2=3,J13,IF(C$2=4,K13,IF(C$2=5,L13,"napaka")))))</f>
        <v>napaka</v>
      </c>
      <c r="E30" s="11"/>
      <c r="F30" s="11"/>
      <c r="G30" s="11"/>
      <c r="H30" s="11"/>
      <c r="I30" s="11"/>
      <c r="J30" s="11"/>
      <c r="K30" s="11"/>
    </row>
    <row r="31" spans="1:11" x14ac:dyDescent="0.25">
      <c r="A31" s="11"/>
      <c r="B31" s="10" t="str">
        <f>VLOOKUP(Lestvica!B20,'Seznam ekip'!$K$6:$O$29,2,FALSE)</f>
        <v xml:space="preserve">Pavlič  </v>
      </c>
      <c r="C31" s="178">
        <f>VLOOKUP(Lestvica!B20,'Seznam ekip'!$K$6:$O$29,3,FALSE)</f>
        <v>0</v>
      </c>
      <c r="D31" s="11" t="str">
        <f>IF(C$2=1,H13,IF(C$2=2,I13,IF(C$2=3,J13,IF(C$2=4,K13,IF(C$2=5,L13,"napaka")))))</f>
        <v>napaka</v>
      </c>
      <c r="E31" s="11"/>
      <c r="F31" s="11"/>
      <c r="G31" s="11"/>
      <c r="H31" s="11"/>
      <c r="I31" s="11"/>
      <c r="J31" s="11"/>
      <c r="K31" s="11"/>
    </row>
    <row r="32" spans="1:11" x14ac:dyDescent="0.25">
      <c r="A32" s="11"/>
      <c r="B32" s="10" t="str">
        <f>VLOOKUP(Lestvica!B20,'Seznam ekip'!$K$6:$O$29,4,FALSE)</f>
        <v xml:space="preserve">Danyliuk PORTŽ </v>
      </c>
      <c r="C32" s="178">
        <f>VLOOKUP(Lestvica!B20,'Seznam ekip'!$K$6:$O$29,5,FALSE)</f>
        <v>0</v>
      </c>
      <c r="D32" s="11" t="str">
        <f>IF(C$2=1,H13,IF(C$2=2,I13,IF(C$2=3,J13,IF(C$2=4,K13,IF(C$2=5,L13,"napaka")))))</f>
        <v>napaka</v>
      </c>
      <c r="E32" s="11"/>
      <c r="F32" s="11"/>
      <c r="G32" s="11"/>
      <c r="H32" s="11"/>
      <c r="I32" s="11"/>
      <c r="J32" s="11"/>
      <c r="K32" s="11"/>
    </row>
    <row r="33" spans="1:11" x14ac:dyDescent="0.25">
      <c r="A33" s="11"/>
      <c r="B33" s="10" t="str">
        <f>VLOOKUP(Lestvica!B21,'Seznam ekip'!$K$6:$O$29,2,FALSE)</f>
        <v xml:space="preserve">Torej </v>
      </c>
      <c r="C33" s="178">
        <f>VLOOKUP(Lestvica!B21,'Seznam ekip'!$K$6:$O$29,3,FALSE)</f>
        <v>0</v>
      </c>
      <c r="D33" s="11" t="str">
        <f>IF(C$2=1,H13,IF(C$2=2,I13,IF(C$2=3,J13,IF(C$2=4,K13,IF(C$2=5,L13,"napaka")))))</f>
        <v>napaka</v>
      </c>
      <c r="E33" s="11"/>
      <c r="F33" s="11"/>
      <c r="G33" s="11"/>
      <c r="H33" s="11"/>
      <c r="I33" s="11"/>
      <c r="J33" s="11"/>
      <c r="K33" s="11"/>
    </row>
    <row r="34" spans="1:11" x14ac:dyDescent="0.25">
      <c r="A34" s="11"/>
      <c r="B34" s="10" t="str">
        <f>VLOOKUP(Lestvica!B21,'Seznam ekip'!$K$6:$O$29,4,FALSE)</f>
        <v xml:space="preserve">Halilovič PORTŽ </v>
      </c>
      <c r="C34" s="178" t="str">
        <f>VLOOKUP(Lestvica!B21,'Seznam ekip'!$K$6:$O$29,5,FALSE)</f>
        <v>BRAD PIT SEVE</v>
      </c>
      <c r="D34" s="11" t="str">
        <f>IF(C$2=1,H13,IF(C$2=2,I13,IF(C$2=3,J13,IF(C$2=4,K13,IF(C$2=5,L13,"napaka")))))</f>
        <v>napaka</v>
      </c>
      <c r="E34" s="11"/>
      <c r="F34" s="11"/>
      <c r="G34" s="11"/>
      <c r="H34" s="11"/>
      <c r="I34" s="11"/>
      <c r="J34" s="11"/>
      <c r="K34" s="11"/>
    </row>
    <row r="35" spans="1:11" ht="13.25" x14ac:dyDescent="0.25">
      <c r="A35" s="11"/>
      <c r="B35" s="10" t="str">
        <f>VLOOKUP(Lestvica!B22,'Seznam ekip'!$K$6:$O$29,2,FALSE)</f>
        <v xml:space="preserve">Reflak </v>
      </c>
      <c r="C35" s="178">
        <f>VLOOKUP(Lestvica!B22,'Seznam ekip'!$K$6:$O$29,3,FALSE)</f>
        <v>0</v>
      </c>
      <c r="D35" s="11" t="str">
        <f>IF(C$2=1,H13,IF(C$2=2,I13,IF(C$2=3,J13,IF(C$2=4,K13,IF(C$2=5,L13,"napaka")))))</f>
        <v>napaka</v>
      </c>
      <c r="E35" s="11"/>
      <c r="F35" s="11"/>
      <c r="G35" s="11"/>
      <c r="H35" s="11"/>
      <c r="I35" s="11"/>
      <c r="J35" s="11"/>
      <c r="K35" s="11"/>
    </row>
    <row r="36" spans="1:11" ht="13.25" x14ac:dyDescent="0.25">
      <c r="A36" s="11"/>
      <c r="B36" s="10" t="str">
        <f>VLOOKUP(Lestvica!B22,'Seznam ekip'!$K$6:$O$29,4,FALSE)</f>
        <v xml:space="preserve">Kim Kilar VITAL </v>
      </c>
      <c r="C36" s="178" t="str">
        <f>VLOOKUP(Lestvica!B22,'Seznam ekip'!$K$6:$O$29,5,FALSE)</f>
        <v>BALERINA</v>
      </c>
      <c r="D36" s="11" t="str">
        <f>IF(C$2=1,H13,IF(C$2=2,I13,IF(C$2=3,J13,IF(C$2=4,K13,IF(C$2=5,L13,"napaka")))))</f>
        <v>napaka</v>
      </c>
      <c r="E36" s="11"/>
      <c r="F36" s="11"/>
      <c r="G36" s="11"/>
      <c r="H36" s="11"/>
      <c r="I36" s="11"/>
      <c r="J36" s="11"/>
      <c r="K36" s="11"/>
    </row>
  </sheetData>
  <sheetProtection sheet="1" objects="1" scenarios="1" selectLockedCells="1"/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Seznam ekip</vt:lpstr>
      <vt:lpstr>Rezultati</vt:lpstr>
      <vt:lpstr>Sistem tekmovanja</vt:lpstr>
      <vt:lpstr>Lestvica</vt:lpstr>
      <vt:lpstr>Tocke</vt:lpstr>
      <vt:lpstr>Lestvica!Print_Area</vt:lpstr>
      <vt:lpstr>Rezultati!Print_Area</vt:lpstr>
      <vt:lpstr>'Seznam ekip'!Print_Area</vt:lpstr>
      <vt:lpstr>'Sistem tekmovanja'!Print_Area</vt:lpstr>
      <vt:lpstr>Tocke!Print_Area</vt:lpstr>
      <vt:lpstr>Rezultati!Print_Titles</vt:lpstr>
    </vt:vector>
  </TitlesOfParts>
  <Company>clicdesign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Hurni</dc:creator>
  <cp:lastModifiedBy>Obrstar David</cp:lastModifiedBy>
  <cp:lastPrinted>2011-07-19T07:04:05Z</cp:lastPrinted>
  <dcterms:created xsi:type="dcterms:W3CDTF">2005-06-20T09:20:28Z</dcterms:created>
  <dcterms:modified xsi:type="dcterms:W3CDTF">2023-07-02T17:09:13Z</dcterms:modified>
</cp:coreProperties>
</file>